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bookViews>
    <workbookView xWindow="0" yWindow="0" windowWidth="23040" windowHeight="9192" tabRatio="748" activeTab="0"/>
  </bookViews>
  <sheets>
    <sheet name="Cows, heifers, &amp; bulls" sheetId="1" r:id="rId1"/>
    <sheet name="Calves" sheetId="7" r:id="rId2"/>
    <sheet name="Pastures" sheetId="2" r:id="rId3"/>
    <sheet name="Feed, vet, &amp; breeding costs" sheetId="3" r:id="rId4"/>
    <sheet name="Other revenue" sheetId="8" r:id="rId5"/>
    <sheet name="Overhead &amp; interest" sheetId="4" r:id="rId6"/>
    <sheet name="Results" sheetId="5" r:id="rId7"/>
    <sheet name="calcs" sheetId="6" state="hidden" r:id="rId8"/>
  </sheets>
  <definedNames/>
  <calcPr calcId="162913" iterate="1" iterateCount="100" iterateDelta="0.001"/>
</workbook>
</file>

<file path=xl/sharedStrings.xml><?xml version="1.0" encoding="utf-8"?>
<sst xmlns="http://schemas.openxmlformats.org/spreadsheetml/2006/main" count="689" uniqueCount="335">
  <si>
    <t>Mature cows</t>
  </si>
  <si>
    <r>
      <t>1</t>
    </r>
    <r>
      <rPr>
        <vertAlign val="superscript"/>
        <sz val="14"/>
        <color theme="1"/>
        <rFont val="Calibri"/>
        <family val="2"/>
        <scheme val="minor"/>
      </rPr>
      <t>st</t>
    </r>
    <r>
      <rPr>
        <sz val="14"/>
        <color theme="1"/>
        <rFont val="Calibri"/>
        <family val="2"/>
        <scheme val="minor"/>
      </rPr>
      <t xml:space="preserve"> calf Heifers</t>
    </r>
  </si>
  <si>
    <t>Yearling heifers</t>
  </si>
  <si>
    <t>Stockers--steers</t>
  </si>
  <si>
    <t>Stockers--heifers</t>
  </si>
  <si>
    <t>Inventory</t>
  </si>
  <si>
    <t>Purchase price</t>
  </si>
  <si>
    <t>units</t>
  </si>
  <si>
    <t>%</t>
  </si>
  <si>
    <t>lbs</t>
  </si>
  <si>
    <t>$/cwt</t>
  </si>
  <si>
    <t>ADG</t>
  </si>
  <si>
    <t>lb/day</t>
  </si>
  <si>
    <t>Death loss</t>
  </si>
  <si>
    <t>days</t>
  </si>
  <si>
    <t>$/hd</t>
  </si>
  <si>
    <t>$</t>
  </si>
  <si>
    <t>hd</t>
  </si>
  <si>
    <t>Wean percentage</t>
  </si>
  <si>
    <t>Calves weaned</t>
  </si>
  <si>
    <t>From cows</t>
  </si>
  <si>
    <t>$/head</t>
  </si>
  <si>
    <t>Total</t>
  </si>
  <si>
    <t>Bulls</t>
  </si>
  <si>
    <t>Total purchases</t>
  </si>
  <si>
    <t>Total sales</t>
  </si>
  <si>
    <t>Cull bulls</t>
  </si>
  <si>
    <r>
      <rPr>
        <sz val="18"/>
        <color theme="1"/>
        <rFont val="Calibri"/>
        <family val="2"/>
        <scheme val="minor"/>
      </rPr>
      <t>Oklahoma Ranch Calculator--OK Ranch Calc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indexed="8"/>
        <rFont val="Calibri"/>
        <family val="2"/>
      </rPr>
      <t xml:space="preserve">Oklahoma State University
</t>
    </r>
    <r>
      <rPr>
        <sz val="11"/>
        <color theme="1"/>
        <rFont val="Calibri"/>
        <family val="2"/>
        <scheme val="minor"/>
      </rPr>
      <t xml:space="preserve">
Developed by
Keith Lusby, Animal Science and Odell Walker, Agricultural Economics
Update by
Eric A. DeVuyst and Damona Doye, Agricultural Economics
David Lalman, Animal Science</t>
    </r>
  </si>
  <si>
    <t>Steers weaned</t>
  </si>
  <si>
    <t>Heifers weaned</t>
  </si>
  <si>
    <t>Heifers retained</t>
  </si>
  <si>
    <t>Types</t>
  </si>
  <si>
    <t xml:space="preserve">Taxes </t>
  </si>
  <si>
    <t>$/acre</t>
  </si>
  <si>
    <t>Interest rate</t>
  </si>
  <si>
    <t>Loan term</t>
  </si>
  <si>
    <t>years</t>
  </si>
  <si>
    <t>Payment frequency</t>
  </si>
  <si>
    <t>Annually</t>
  </si>
  <si>
    <t>Years remaining on loan</t>
  </si>
  <si>
    <t>$/year</t>
  </si>
  <si>
    <t>Total annual payments</t>
  </si>
  <si>
    <t>Native</t>
  </si>
  <si>
    <t>TOTALS</t>
  </si>
  <si>
    <t>Total rent</t>
  </si>
  <si>
    <t>Acres</t>
  </si>
  <si>
    <t>Annual rent per acre</t>
  </si>
  <si>
    <t>total acres</t>
  </si>
  <si>
    <t>Pasture Types</t>
  </si>
  <si>
    <t>Excess/deficit acres</t>
  </si>
  <si>
    <t>Head remaining to allocate</t>
  </si>
  <si>
    <t>Cash expense</t>
  </si>
  <si>
    <t>Fertilizer and lime</t>
  </si>
  <si>
    <t>Tillage</t>
  </si>
  <si>
    <t>Seeding</t>
  </si>
  <si>
    <t>Total per acre</t>
  </si>
  <si>
    <t>Total for farm</t>
  </si>
  <si>
    <t>Source</t>
  </si>
  <si>
    <t>$/unit</t>
  </si>
  <si>
    <t>lb/day/hd</t>
  </si>
  <si>
    <t>days fed</t>
  </si>
  <si>
    <t>cubes 20%</t>
  </si>
  <si>
    <t>tons</t>
  </si>
  <si>
    <t>bermuda hay</t>
  </si>
  <si>
    <t>Total herd cost</t>
  </si>
  <si>
    <t>Cost</t>
  </si>
  <si>
    <t>Deworm, fly control</t>
  </si>
  <si>
    <t>Vaccines, vet, drugs</t>
  </si>
  <si>
    <t>Transport</t>
  </si>
  <si>
    <t>Marketing</t>
  </si>
  <si>
    <t>Property tax</t>
  </si>
  <si>
    <t>Total per head</t>
  </si>
  <si>
    <t>$hd</t>
  </si>
  <si>
    <t>Useful life</t>
  </si>
  <si>
    <t>Salvage value</t>
  </si>
  <si>
    <t>Annual costs</t>
  </si>
  <si>
    <t>Depreciation</t>
  </si>
  <si>
    <t>Units</t>
  </si>
  <si>
    <t>$/yr</t>
  </si>
  <si>
    <t>Taxes</t>
  </si>
  <si>
    <t>Insurance</t>
  </si>
  <si>
    <t>Totals</t>
  </si>
  <si>
    <t>Years remaining on note</t>
  </si>
  <si>
    <t>Total Payments</t>
  </si>
  <si>
    <t>Total Principal</t>
  </si>
  <si>
    <t>Total Interest</t>
  </si>
  <si>
    <t>Cow herd</t>
  </si>
  <si>
    <t>Stockers</t>
  </si>
  <si>
    <t>Hired labor</t>
  </si>
  <si>
    <t>Miscellaneous expense</t>
  </si>
  <si>
    <t>Percent financed</t>
  </si>
  <si>
    <t>Months borrowed</t>
  </si>
  <si>
    <t>months</t>
  </si>
  <si>
    <t>total</t>
  </si>
  <si>
    <t>Revenue</t>
  </si>
  <si>
    <t>Profitability</t>
  </si>
  <si>
    <t>Total cow herd revenue</t>
  </si>
  <si>
    <t>Pasture rent</t>
  </si>
  <si>
    <t>Pasture operating</t>
  </si>
  <si>
    <t>1st heifers</t>
  </si>
  <si>
    <t>cows</t>
  </si>
  <si>
    <t>1st calf</t>
  </si>
  <si>
    <t>cow perc</t>
  </si>
  <si>
    <t>Hay and feed</t>
  </si>
  <si>
    <t>Miscellaneous</t>
  </si>
  <si>
    <t>Interest on:</t>
  </si>
  <si>
    <t>Operating</t>
  </si>
  <si>
    <t>Pasture mortgage</t>
  </si>
  <si>
    <t>Breeding stock notes</t>
  </si>
  <si>
    <t>Cash mach, equip, &amp; facilities exp</t>
  </si>
  <si>
    <t>Mach, equip and facilities notes</t>
  </si>
  <si>
    <t>XXX</t>
  </si>
  <si>
    <t>Veterinary etc.</t>
  </si>
  <si>
    <t>Calf notes</t>
  </si>
  <si>
    <t>cash cow</t>
  </si>
  <si>
    <t>perc fin</t>
  </si>
  <si>
    <t>own int</t>
  </si>
  <si>
    <t>borrow</t>
  </si>
  <si>
    <t>mach cash</t>
  </si>
  <si>
    <t>opp cost</t>
  </si>
  <si>
    <t>yearlings</t>
  </si>
  <si>
    <t>bulls</t>
  </si>
  <si>
    <t>cash stkr</t>
  </si>
  <si>
    <t>steers</t>
  </si>
  <si>
    <t>heifers</t>
  </si>
  <si>
    <t xml:space="preserve">land opp </t>
  </si>
  <si>
    <t>Borrowed</t>
  </si>
  <si>
    <t>% financed</t>
  </si>
  <si>
    <t>Initial principal</t>
  </si>
  <si>
    <t>Total principal current yr</t>
  </si>
  <si>
    <t>Total interest current year</t>
  </si>
  <si>
    <t>Retained</t>
  </si>
  <si>
    <t>Purchased</t>
  </si>
  <si>
    <t>bull</t>
  </si>
  <si>
    <t>heifer</t>
  </si>
  <si>
    <t>cost basis</t>
  </si>
  <si>
    <t>Original loan principal</t>
  </si>
  <si>
    <t>Financed per acre</t>
  </si>
  <si>
    <t>Value of family and own labor</t>
  </si>
  <si>
    <t>Noncurrent asset</t>
  </si>
  <si>
    <t>1st calf heifers</t>
  </si>
  <si>
    <t>TOTAL</t>
  </si>
  <si>
    <t>Breeding livestock purchases</t>
  </si>
  <si>
    <t>Principal payments--real estate</t>
  </si>
  <si>
    <t>Principal payments--mach, facilities, etc.</t>
  </si>
  <si>
    <t>Breeding stock purchases</t>
  </si>
  <si>
    <t>Cull sales</t>
  </si>
  <si>
    <t>xxx</t>
  </si>
  <si>
    <t>Totals and averages</t>
  </si>
  <si>
    <t>Stocker inventory</t>
  </si>
  <si>
    <t>Purchased calves</t>
  </si>
  <si>
    <t>Calf and stocker sales</t>
  </si>
  <si>
    <t>Initial price</t>
  </si>
  <si>
    <t>Initial weight</t>
  </si>
  <si>
    <t>Expenses</t>
  </si>
  <si>
    <t>Purchased and retained calves</t>
  </si>
  <si>
    <t>Total Expenses</t>
  </si>
  <si>
    <t>Machinery, equipment and facilities</t>
  </si>
  <si>
    <t>operating interest</t>
  </si>
  <si>
    <t>cash operating expense</t>
  </si>
  <si>
    <t>intrate</t>
  </si>
  <si>
    <t>opp equity</t>
  </si>
  <si>
    <t>mach</t>
  </si>
  <si>
    <t>facilities</t>
  </si>
  <si>
    <t>cows share</t>
  </si>
  <si>
    <t>stkrs</t>
  </si>
  <si>
    <t>Total expenses</t>
  </si>
  <si>
    <t>Total stocker revenue</t>
  </si>
  <si>
    <t>Total principal, current year</t>
  </si>
  <si>
    <t>Total interest, current year</t>
  </si>
  <si>
    <t>Pasture cash expense</t>
  </si>
  <si>
    <t>Owned pasture information</t>
  </si>
  <si>
    <t>Veterinary and miscellaneous expense</t>
  </si>
  <si>
    <t>Hay and feed costs per head</t>
  </si>
  <si>
    <t>Operating note information</t>
  </si>
  <si>
    <t>Value of unpaid labor</t>
  </si>
  <si>
    <t>Principal payments--breeding stock</t>
  </si>
  <si>
    <t>principal payments</t>
  </si>
  <si>
    <t>payments</t>
  </si>
  <si>
    <t>stk perc</t>
  </si>
  <si>
    <t>tot per</t>
  </si>
  <si>
    <t>cow norm</t>
  </si>
  <si>
    <t>stk norm</t>
  </si>
  <si>
    <t>sex</t>
  </si>
  <si>
    <t xml:space="preserve">from </t>
  </si>
  <si>
    <t>replacements</t>
  </si>
  <si>
    <r>
      <t>1</t>
    </r>
    <r>
      <rPr>
        <vertAlign val="superscript"/>
        <sz val="14"/>
        <color theme="1"/>
        <rFont val="Calibri"/>
        <family val="2"/>
        <scheme val="minor"/>
      </rPr>
      <t>st</t>
    </r>
    <r>
      <rPr>
        <sz val="14"/>
        <color theme="1"/>
        <rFont val="Calibri"/>
        <family val="2"/>
        <scheme val="minor"/>
      </rPr>
      <t xml:space="preserve"> Calf heifers</t>
    </r>
  </si>
  <si>
    <t>Yearling heifers
(replacements)</t>
  </si>
  <si>
    <t>Retained calves</t>
  </si>
  <si>
    <t>Machinery &amp; equipment</t>
  </si>
  <si>
    <t>Fuel, lube, utilities</t>
  </si>
  <si>
    <t>Repairs &amp; maintenance</t>
  </si>
  <si>
    <t>Working facilities, fences, buildings</t>
  </si>
  <si>
    <t>Machinery and equipment</t>
  </si>
  <si>
    <t>Facilities, fences, buildings</t>
  </si>
  <si>
    <t>Interest on average investment</t>
  </si>
  <si>
    <t>Raised bulls</t>
  </si>
  <si>
    <t>Purchased bulls</t>
  </si>
  <si>
    <t>death loss</t>
  </si>
  <si>
    <t>salt/minerals</t>
  </si>
  <si>
    <t>prairie hay</t>
  </si>
  <si>
    <t>Fuel, lube, repairs</t>
  </si>
  <si>
    <t>cubes 38%</t>
  </si>
  <si>
    <t xml:space="preserve"> </t>
  </si>
  <si>
    <t>Bermuda</t>
  </si>
  <si>
    <t>Wheat</t>
  </si>
  <si>
    <t>Head</t>
  </si>
  <si>
    <t>Total $</t>
  </si>
  <si>
    <t>Head sold</t>
  </si>
  <si>
    <t>Sale price ($/cwt)</t>
  </si>
  <si>
    <t>Weight (lbs)</t>
  </si>
  <si>
    <t>Days owned</t>
  </si>
  <si>
    <t>Pasture</t>
  </si>
  <si>
    <t>(head)</t>
  </si>
  <si>
    <t>Other</t>
  </si>
  <si>
    <t>Net income</t>
  </si>
  <si>
    <t>Net income from cow herd</t>
  </si>
  <si>
    <t>Net income from stockers</t>
  </si>
  <si>
    <t>Net income--whole farm</t>
  </si>
  <si>
    <t>Calf production</t>
  </si>
  <si>
    <t>Cash mach, equip, &amp; facilities</t>
  </si>
  <si>
    <t>Depreciation and death loss</t>
  </si>
  <si>
    <t>Feed cost for:</t>
  </si>
  <si>
    <t>Cows and heifers</t>
  </si>
  <si>
    <t>Purchased stockers</t>
  </si>
  <si>
    <t>Retained stockers</t>
  </si>
  <si>
    <t>Total Feed</t>
  </si>
  <si>
    <t>Total feed cost per head</t>
  </si>
  <si>
    <t>Total herd feed cost</t>
  </si>
  <si>
    <t># of units</t>
  </si>
  <si>
    <t>Raised</t>
  </si>
  <si>
    <t>Sale price
($/cwt)</t>
  </si>
  <si>
    <t>Salvage value
($/head)</t>
  </si>
  <si>
    <t>Expected useful life
(years)</t>
  </si>
  <si>
    <t>Depreciation
($)</t>
  </si>
  <si>
    <t>Insurance
($)</t>
  </si>
  <si>
    <t>Taxes
($)</t>
  </si>
  <si>
    <t>Origination</t>
  </si>
  <si>
    <t>Quarterly</t>
  </si>
  <si>
    <t>raised</t>
  </si>
  <si>
    <t>purchased</t>
  </si>
  <si>
    <t>head</t>
  </si>
  <si>
    <t>avg val</t>
  </si>
  <si>
    <t>deathlose</t>
  </si>
  <si>
    <t>Total Vet &amp; Misc</t>
  </si>
  <si>
    <t>stocker steers</t>
  </si>
  <si>
    <t>feeders</t>
  </si>
  <si>
    <t>retained</t>
  </si>
  <si>
    <t>stocker heifers</t>
  </si>
  <si>
    <t>steer calves</t>
  </si>
  <si>
    <t>heifer calves</t>
  </si>
  <si>
    <t>From 1st calf heifers</t>
  </si>
  <si>
    <t>Mature cows &amp; 1st calf heifers</t>
  </si>
  <si>
    <t>Stocker 1</t>
  </si>
  <si>
    <t>Stocker 2</t>
  </si>
  <si>
    <t>Native- purch</t>
  </si>
  <si>
    <t>Sales</t>
  </si>
  <si>
    <t>Number</t>
  </si>
  <si>
    <t>Opportunity cost on investment:</t>
  </si>
  <si>
    <t>Opportunity cost on investment</t>
  </si>
  <si>
    <t>Cull cows and 1st calf heifers</t>
  </si>
  <si>
    <t>Cull yearling heifers</t>
  </si>
  <si>
    <t># sold</t>
  </si>
  <si>
    <t>Average weight
(lbs)</t>
  </si>
  <si>
    <t>Calf sales</t>
  </si>
  <si>
    <t>Stocker sales</t>
  </si>
  <si>
    <t>Downpayment</t>
  </si>
  <si>
    <t>Month purchased</t>
  </si>
  <si>
    <t>1st year interest</t>
  </si>
  <si>
    <t>Retained heifers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</si>
  <si>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</si>
  <si>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</si>
  <si>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</si>
  <si>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</si>
  <si>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</si>
  <si>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</si>
  <si>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</si>
  <si>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</si>
  <si>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</si>
  <si>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</si>
  <si>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</si>
  <si>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</si>
  <si>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Increase in replacement heifer value</t>
  </si>
  <si>
    <t>Investment
($/unit)</t>
  </si>
  <si>
    <t>Cow herd cash flow and profitability analysis</t>
  </si>
  <si>
    <t>Stocker cash flow and profitability analysis</t>
  </si>
  <si>
    <t>Net cash flow from stockers</t>
  </si>
  <si>
    <t>Net cash flow from cow herd</t>
  </si>
  <si>
    <t>Other cash flows</t>
  </si>
  <si>
    <t>Net cash flow--whole farm</t>
  </si>
  <si>
    <t>Cash flow</t>
  </si>
  <si>
    <t>Other overhead costs</t>
  </si>
  <si>
    <t>Enterprise</t>
  </si>
  <si>
    <t>Cow-calf</t>
  </si>
  <si>
    <t>Stocker</t>
  </si>
  <si>
    <t>Crops and other</t>
  </si>
  <si>
    <t>Pasture  rent and overhead allocation</t>
  </si>
  <si>
    <t>Use these numbers for allocating ownership costs</t>
  </si>
  <si>
    <t>Use these number for allocating operating expenses</t>
  </si>
  <si>
    <t>Pasture allocation--head grazed on each pasture type (optional)</t>
  </si>
  <si>
    <t>overhead costs</t>
  </si>
  <si>
    <t>cow-calf pasture overhead</t>
  </si>
  <si>
    <t>stocker pasture overhead</t>
  </si>
  <si>
    <t>Average cost basis/base value</t>
  </si>
  <si>
    <t>Rented pasture information</t>
  </si>
  <si>
    <t>Pasture allocation--acres per head (optional)</t>
  </si>
  <si>
    <t>Total annual payment</t>
  </si>
  <si>
    <t>Total principal payment</t>
  </si>
  <si>
    <t>Total interest payment</t>
  </si>
  <si>
    <t>Labor and overhead allocation</t>
  </si>
  <si>
    <t>Base value</t>
  </si>
  <si>
    <t>Spraying, burning, other</t>
  </si>
  <si>
    <t>Cow, heifer, and bull inventory</t>
  </si>
  <si>
    <t>Fescue</t>
  </si>
  <si>
    <t>Whole farm cash flow and profitability analysis</t>
  </si>
  <si>
    <t>This program is designed to operate in MS Excel 2007. Earlier versions of Excel WILL generate errors!</t>
  </si>
  <si>
    <t>type scenario description here</t>
  </si>
  <si>
    <t>Other sources of revenue</t>
  </si>
  <si>
    <t>Description</t>
  </si>
  <si>
    <t>Price</t>
  </si>
  <si>
    <t>Hunting lease</t>
  </si>
  <si>
    <t>acres</t>
  </si>
  <si>
    <t>Semen sales</t>
  </si>
  <si>
    <t>straws</t>
  </si>
  <si>
    <t>Breeding certificates</t>
  </si>
  <si>
    <t>certs</t>
  </si>
  <si>
    <t>Custom baling</t>
  </si>
  <si>
    <t>bales</t>
  </si>
  <si>
    <t>Total other revenue</t>
  </si>
  <si>
    <t>other--type over</t>
  </si>
  <si>
    <t>Purchases</t>
  </si>
  <si>
    <t>Ending inventory</t>
  </si>
  <si>
    <t>Beginning inventory</t>
  </si>
  <si>
    <t>Transferred in</t>
  </si>
  <si>
    <t>Transferred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</si>
</sst>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0.0%"/>
    <numFmt numFmtId="166" formatCode="&quot;$&quot;#,##0.00"/>
    <numFmt numFmtId="167" formatCode="&quot;$&quot;#,##0"/>
    <numFmt numFmtId="168" formatCode="0.0"/>
    <numFmt numFmtId="169" formatCode="#,##0.0"/>
    <numFmt numFmtId="170" formatCode="0.000"/>
    <numFmt numFmtId="171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6"/>
      <color indexed="8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4" tint="0.7999799847602844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lightUp">
        <bgColor theme="6" tint="0.799979984760284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lightUp">
        <bgColor rgb="FFFFFF66"/>
      </patternFill>
    </fill>
    <fill>
      <patternFill patternType="lightUp">
        <bgColor theme="4" tint="0.7999799847602844"/>
      </patternFill>
    </fill>
    <fill>
      <patternFill patternType="lightUp">
        <bgColor theme="4" tint="0.7999200224876404"/>
      </patternFill>
    </fill>
    <fill>
      <patternFill patternType="lightUp">
        <bgColor theme="4" tint="0.7999500036239624"/>
      </patternFill>
    </fill>
    <fill>
      <patternFill patternType="solid">
        <fgColor theme="4" tint="0.7999200224876404"/>
        <bgColor indexed="64"/>
      </patternFill>
    </fill>
  </fills>
  <borders count="37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ck"/>
      <bottom/>
    </border>
    <border>
      <left style="thin"/>
      <right style="thick"/>
      <top style="thin"/>
      <bottom style="thin"/>
    </border>
    <border>
      <left style="thick"/>
      <right style="hair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hair"/>
      <top style="thin"/>
      <bottom/>
    </border>
    <border>
      <left style="thick"/>
      <right style="thin"/>
      <top style="thin"/>
      <bottom style="thin"/>
    </border>
    <border>
      <left style="thick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/>
      <bottom/>
    </border>
    <border>
      <left/>
      <right style="thick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4">
    <xf numFmtId="0" fontId="0" fillId="0" borderId="0" xfId="0"/>
    <xf numFmtId="15" fontId="0" fillId="0" borderId="0" xfId="0" applyNumberFormat="1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shrinkToFi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center" shrinkToFit="1"/>
    </xf>
    <xf numFmtId="3" fontId="4" fillId="2" borderId="2" xfId="0" applyNumberFormat="1" applyFont="1" applyFill="1" applyBorder="1" applyAlignment="1">
      <alignment horizontal="right" shrinkToFit="1"/>
    </xf>
    <xf numFmtId="1" fontId="4" fillId="2" borderId="2" xfId="0" applyNumberFormat="1" applyFont="1" applyFill="1" applyBorder="1" applyAlignment="1">
      <alignment horizontal="right" shrinkToFit="1"/>
    </xf>
    <xf numFmtId="9" fontId="0" fillId="0" borderId="0" xfId="0" applyNumberFormat="1"/>
    <xf numFmtId="10" fontId="0" fillId="0" borderId="0" xfId="0" applyNumberFormat="1"/>
    <xf numFmtId="0" fontId="4" fillId="2" borderId="2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/>
    </xf>
    <xf numFmtId="0" fontId="0" fillId="0" borderId="0" xfId="0" quotePrefix="1"/>
    <xf numFmtId="0" fontId="4" fillId="2" borderId="5" xfId="0" applyFont="1" applyFill="1" applyBorder="1" applyAlignment="1">
      <alignment/>
    </xf>
    <xf numFmtId="3" fontId="4" fillId="4" borderId="2" xfId="0" applyNumberFormat="1" applyFont="1" applyFill="1" applyBorder="1" applyAlignment="1">
      <alignment/>
    </xf>
    <xf numFmtId="0" fontId="0" fillId="0" borderId="6" xfId="0" applyBorder="1"/>
    <xf numFmtId="0" fontId="4" fillId="2" borderId="2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/>
    </xf>
    <xf numFmtId="1" fontId="0" fillId="0" borderId="0" xfId="0" applyNumberFormat="1"/>
    <xf numFmtId="170" fontId="0" fillId="0" borderId="0" xfId="0" applyNumberFormat="1"/>
    <xf numFmtId="0" fontId="11" fillId="0" borderId="0" xfId="0" applyFont="1"/>
    <xf numFmtId="3" fontId="0" fillId="0" borderId="0" xfId="0" applyNumberFormat="1"/>
    <xf numFmtId="167" fontId="7" fillId="3" borderId="7" xfId="0" applyNumberFormat="1" applyFont="1" applyFill="1" applyBorder="1" applyAlignment="1">
      <alignment vertical="center"/>
    </xf>
    <xf numFmtId="167" fontId="7" fillId="3" borderId="8" xfId="0" applyNumberFormat="1" applyFont="1" applyFill="1" applyBorder="1" applyAlignment="1">
      <alignment vertical="center"/>
    </xf>
    <xf numFmtId="167" fontId="7" fillId="3" borderId="3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center" wrapText="1" shrinkToFit="1"/>
    </xf>
    <xf numFmtId="0" fontId="4" fillId="2" borderId="9" xfId="0" applyFont="1" applyFill="1" applyBorder="1" applyAlignment="1">
      <alignment vertical="center" wrapText="1" shrinkToFit="1"/>
    </xf>
    <xf numFmtId="166" fontId="4" fillId="3" borderId="5" xfId="0" applyNumberFormat="1" applyFont="1" applyFill="1" applyBorder="1" applyAlignment="1">
      <alignment/>
    </xf>
    <xf numFmtId="166" fontId="4" fillId="3" borderId="1" xfId="0" applyNumberFormat="1" applyFont="1" applyFill="1" applyBorder="1" applyAlignment="1">
      <alignment horizontal="left" indent="1" shrinkToFit="1"/>
    </xf>
    <xf numFmtId="0" fontId="4" fillId="2" borderId="2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wrapText="1"/>
    </xf>
    <xf numFmtId="0" fontId="4" fillId="2" borderId="2" xfId="0" applyFont="1" applyFill="1" applyBorder="1" applyAlignment="1">
      <alignment horizontal="center" vertical="center" shrinkToFit="1"/>
    </xf>
    <xf numFmtId="3" fontId="7" fillId="3" borderId="5" xfId="0" applyNumberFormat="1" applyFont="1" applyFill="1" applyBorder="1" applyAlignment="1">
      <alignment shrinkToFit="1"/>
    </xf>
    <xf numFmtId="0" fontId="0" fillId="0" borderId="10" xfId="0" applyBorder="1"/>
    <xf numFmtId="0" fontId="4" fillId="2" borderId="2" xfId="0" applyFont="1" applyFill="1" applyBorder="1" applyAlignment="1">
      <alignment shrinkToFit="1"/>
    </xf>
    <xf numFmtId="0" fontId="0" fillId="0" borderId="0" xfId="0" applyProtection="1">
      <protection hidden="1"/>
    </xf>
    <xf numFmtId="3" fontId="7" fillId="5" borderId="5" xfId="0" applyNumberFormat="1" applyFont="1" applyFill="1" applyBorder="1" applyAlignment="1" applyProtection="1">
      <alignment shrinkToFit="1"/>
      <protection locked="0"/>
    </xf>
    <xf numFmtId="3" fontId="7" fillId="5" borderId="5" xfId="0" applyNumberFormat="1" applyFont="1" applyFill="1" applyBorder="1" applyAlignment="1" applyProtection="1">
      <alignment vertical="center" shrinkToFit="1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2" fontId="4" fillId="5" borderId="11" xfId="0" applyNumberFormat="1" applyFont="1" applyFill="1" applyBorder="1" applyAlignment="1" applyProtection="1">
      <alignment shrinkToFit="1"/>
      <protection locked="0"/>
    </xf>
    <xf numFmtId="0" fontId="4" fillId="5" borderId="12" xfId="0" applyFont="1" applyFill="1" applyBorder="1" applyAlignment="1" applyProtection="1">
      <alignment horizontal="right" indent="1"/>
      <protection locked="0"/>
    </xf>
    <xf numFmtId="0" fontId="4" fillId="5" borderId="13" xfId="0" applyFont="1" applyFill="1" applyBorder="1" applyAlignment="1" applyProtection="1">
      <alignment horizontal="right" indent="1"/>
      <protection locked="0"/>
    </xf>
    <xf numFmtId="0" fontId="4" fillId="5" borderId="14" xfId="0" applyFont="1" applyFill="1" applyBorder="1" applyAlignment="1" applyProtection="1">
      <alignment horizontal="right" indent="1"/>
      <protection locked="0"/>
    </xf>
    <xf numFmtId="0" fontId="4" fillId="5" borderId="15" xfId="0" applyFont="1" applyFill="1" applyBorder="1" applyAlignment="1" applyProtection="1">
      <alignment horizontal="right" indent="1"/>
      <protection locked="0"/>
    </xf>
    <xf numFmtId="0" fontId="4" fillId="5" borderId="1" xfId="0" applyFont="1" applyFill="1" applyBorder="1" applyAlignment="1" applyProtection="1">
      <alignment horizontal="right" indent="1"/>
      <protection locked="0"/>
    </xf>
    <xf numFmtId="0" fontId="7" fillId="5" borderId="16" xfId="0" applyFont="1" applyFill="1" applyBorder="1" applyAlignment="1" applyProtection="1">
      <alignment horizontal="right" indent="1"/>
      <protection locked="0"/>
    </xf>
    <xf numFmtId="0" fontId="4" fillId="5" borderId="17" xfId="0" applyFont="1" applyFill="1" applyBorder="1" applyAlignment="1" applyProtection="1">
      <alignment horizontal="right" indent="1"/>
      <protection locked="0"/>
    </xf>
    <xf numFmtId="0" fontId="4" fillId="5" borderId="18" xfId="0" applyFont="1" applyFill="1" applyBorder="1" applyAlignment="1" applyProtection="1">
      <alignment horizontal="right" indent="1"/>
      <protection locked="0"/>
    </xf>
    <xf numFmtId="10" fontId="7" fillId="5" borderId="19" xfId="0" applyNumberFormat="1" applyFont="1" applyFill="1" applyBorder="1" applyAlignment="1" applyProtection="1">
      <alignment vertical="center" shrinkToFit="1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5" fontId="0" fillId="0" borderId="0" xfId="0" applyNumberFormat="1" applyBorder="1" applyAlignment="1">
      <alignment/>
    </xf>
    <xf numFmtId="0" fontId="4" fillId="2" borderId="20" xfId="0" applyFont="1" applyFill="1" applyBorder="1" applyAlignment="1">
      <alignment horizontal="center" wrapText="1"/>
    </xf>
    <xf numFmtId="2" fontId="0" fillId="0" borderId="0" xfId="0" applyNumberFormat="1"/>
    <xf numFmtId="0" fontId="4" fillId="5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4" fillId="5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5" borderId="2" xfId="0" applyFont="1" applyFill="1" applyBorder="1"/>
    <xf numFmtId="171" fontId="4" fillId="5" borderId="2" xfId="16" applyNumberFormat="1" applyFont="1" applyFill="1" applyBorder="1"/>
    <xf numFmtId="171" fontId="4" fillId="3" borderId="2" xfId="16" applyNumberFormat="1" applyFont="1" applyFill="1" applyBorder="1"/>
    <xf numFmtId="171" fontId="4" fillId="2" borderId="2" xfId="16" applyNumberFormat="1" applyFont="1" applyFill="1" applyBorder="1"/>
    <xf numFmtId="1" fontId="4" fillId="2" borderId="2" xfId="0" applyNumberFormat="1" applyFont="1" applyFill="1" applyBorder="1" applyAlignment="1">
      <alignment horizontal="right" indent="1" shrinkToFit="1"/>
    </xf>
    <xf numFmtId="3" fontId="4" fillId="2" borderId="2" xfId="0" applyNumberFormat="1" applyFont="1" applyFill="1" applyBorder="1" applyAlignment="1">
      <alignment horizontal="right" indent="1" shrinkToFit="1"/>
    </xf>
    <xf numFmtId="167" fontId="4" fillId="3" borderId="2" xfId="0" applyNumberFormat="1" applyFont="1" applyFill="1" applyBorder="1" applyAlignment="1">
      <alignment horizontal="right" indent="1"/>
    </xf>
    <xf numFmtId="168" fontId="7" fillId="3" borderId="5" xfId="0" applyNumberFormat="1" applyFont="1" applyFill="1" applyBorder="1" applyAlignment="1">
      <alignment horizontal="right" vertical="center" indent="1" shrinkToFit="1"/>
    </xf>
    <xf numFmtId="168" fontId="7" fillId="3" borderId="1" xfId="0" applyNumberFormat="1" applyFont="1" applyFill="1" applyBorder="1" applyAlignment="1">
      <alignment horizontal="right" vertical="center" inden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6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shrinkToFit="1"/>
    </xf>
    <xf numFmtId="9" fontId="4" fillId="5" borderId="5" xfId="0" applyNumberFormat="1" applyFont="1" applyFill="1" applyBorder="1" applyAlignment="1" applyProtection="1">
      <alignment horizontal="right" indent="1"/>
      <protection locked="0"/>
    </xf>
    <xf numFmtId="9" fontId="4" fillId="5" borderId="1" xfId="0" applyNumberFormat="1" applyFont="1" applyFill="1" applyBorder="1" applyAlignment="1" applyProtection="1">
      <alignment horizontal="right" indent="1"/>
      <protection locked="0"/>
    </xf>
    <xf numFmtId="9" fontId="4" fillId="5" borderId="2" xfId="0" applyNumberFormat="1" applyFont="1" applyFill="1" applyBorder="1" applyAlignment="1" applyProtection="1">
      <alignment horizontal="right" indent="1"/>
      <protection locked="0"/>
    </xf>
    <xf numFmtId="9" fontId="4" fillId="7" borderId="2" xfId="0" applyNumberFormat="1" applyFont="1" applyFill="1" applyBorder="1" applyAlignment="1">
      <alignment horizontal="right" indent="1"/>
    </xf>
    <xf numFmtId="10" fontId="4" fillId="5" borderId="2" xfId="0" applyNumberFormat="1" applyFont="1" applyFill="1" applyBorder="1" applyAlignment="1" applyProtection="1">
      <alignment horizontal="right" indent="1"/>
      <protection locked="0"/>
    </xf>
    <xf numFmtId="0" fontId="4" fillId="5" borderId="2" xfId="0" applyFont="1" applyFill="1" applyBorder="1" applyAlignment="1" applyProtection="1">
      <alignment horizontal="right" indent="1"/>
      <protection locked="0"/>
    </xf>
    <xf numFmtId="168" fontId="7" fillId="3" borderId="2" xfId="0" applyNumberFormat="1" applyFont="1" applyFill="1" applyBorder="1" applyAlignment="1">
      <alignment horizontal="right" indent="1" shrinkToFit="1"/>
    </xf>
    <xf numFmtId="0" fontId="4" fillId="2" borderId="5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7" fontId="7" fillId="5" borderId="5" xfId="0" applyNumberFormat="1" applyFont="1" applyFill="1" applyBorder="1" applyAlignment="1" applyProtection="1">
      <alignment horizontal="right" indent="1" shrinkToFit="1"/>
      <protection locked="0"/>
    </xf>
    <xf numFmtId="167" fontId="7" fillId="5" borderId="1" xfId="0" applyNumberFormat="1" applyFont="1" applyFill="1" applyBorder="1" applyAlignment="1" applyProtection="1">
      <alignment horizontal="right" indent="1" shrinkToFit="1"/>
      <protection locked="0"/>
    </xf>
    <xf numFmtId="0" fontId="4" fillId="2" borderId="2" xfId="0" applyFont="1" applyFill="1" applyBorder="1" applyAlignment="1">
      <alignment horizontal="left" shrinkToFit="1"/>
    </xf>
    <xf numFmtId="0" fontId="4" fillId="2" borderId="5" xfId="0" applyFont="1" applyFill="1" applyBorder="1" applyAlignment="1">
      <alignment horizontal="center" shrinkToFit="1"/>
    </xf>
    <xf numFmtId="0" fontId="4" fillId="2" borderId="13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  <xf numFmtId="167" fontId="4" fillId="3" borderId="2" xfId="0" applyNumberFormat="1" applyFont="1" applyFill="1" applyBorder="1" applyAlignment="1">
      <alignment horizontal="right" indent="1" shrinkToFit="1"/>
    </xf>
    <xf numFmtId="3" fontId="7" fillId="5" borderId="5" xfId="0" applyNumberFormat="1" applyFont="1" applyFill="1" applyBorder="1" applyAlignment="1" applyProtection="1">
      <alignment horizontal="right" vertical="center" indent="1" shrinkToFit="1"/>
      <protection locked="0"/>
    </xf>
    <xf numFmtId="3" fontId="7" fillId="5" borderId="1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3" borderId="5" xfId="0" applyFill="1" applyBorder="1" applyAlignment="1" applyProtection="1">
      <alignment horizontal="right" indent="1"/>
      <protection locked="0"/>
    </xf>
    <xf numFmtId="0" fontId="0" fillId="3" borderId="1" xfId="0" applyFill="1" applyBorder="1" applyAlignment="1" applyProtection="1">
      <alignment horizontal="right" indent="1"/>
      <protection locked="0"/>
    </xf>
    <xf numFmtId="167" fontId="7" fillId="3" borderId="2" xfId="0" applyNumberFormat="1" applyFont="1" applyFill="1" applyBorder="1" applyAlignment="1" applyProtection="1">
      <alignment horizontal="right" indent="1"/>
      <protection locked="0"/>
    </xf>
    <xf numFmtId="0" fontId="4" fillId="2" borderId="6" xfId="0" applyFont="1" applyFill="1" applyBorder="1" applyAlignment="1">
      <alignment horizontal="left" shrinkToFit="1"/>
    </xf>
    <xf numFmtId="0" fontId="4" fillId="2" borderId="0" xfId="0" applyFont="1" applyFill="1" applyBorder="1" applyAlignment="1">
      <alignment horizontal="left" shrinkToFit="1"/>
    </xf>
    <xf numFmtId="10" fontId="7" fillId="5" borderId="2" xfId="0" applyNumberFormat="1" applyFont="1" applyFill="1" applyBorder="1" applyAlignment="1" applyProtection="1">
      <alignment horizontal="right" indent="1"/>
      <protection locked="0"/>
    </xf>
    <xf numFmtId="1" fontId="7" fillId="5" borderId="2" xfId="0" applyNumberFormat="1" applyFont="1" applyFill="1" applyBorder="1" applyAlignment="1" applyProtection="1">
      <alignment horizontal="right" indent="1"/>
      <protection locked="0"/>
    </xf>
    <xf numFmtId="1" fontId="7" fillId="5" borderId="2" xfId="0" applyNumberFormat="1" applyFont="1" applyFill="1" applyBorder="1" applyAlignment="1" applyProtection="1">
      <alignment horizontal="center"/>
      <protection locked="0"/>
    </xf>
    <xf numFmtId="167" fontId="9" fillId="3" borderId="5" xfId="0" applyNumberFormat="1" applyFont="1" applyFill="1" applyBorder="1" applyAlignment="1">
      <alignment horizontal="right" vertical="center" indent="2"/>
    </xf>
    <xf numFmtId="167" fontId="9" fillId="3" borderId="1" xfId="0" applyNumberFormat="1" applyFont="1" applyFill="1" applyBorder="1" applyAlignment="1">
      <alignment horizontal="right" vertical="center" indent="2"/>
    </xf>
    <xf numFmtId="167" fontId="9" fillId="5" borderId="5" xfId="0" applyNumberFormat="1" applyFont="1" applyFill="1" applyBorder="1" applyAlignment="1" applyProtection="1">
      <alignment horizontal="right" vertical="center" indent="2"/>
      <protection locked="0"/>
    </xf>
    <xf numFmtId="167" fontId="9" fillId="5" borderId="1" xfId="0" applyNumberFormat="1" applyFont="1" applyFill="1" applyBorder="1" applyAlignment="1" applyProtection="1">
      <alignment horizontal="right" vertical="center" indent="2"/>
      <protection locked="0"/>
    </xf>
    <xf numFmtId="167" fontId="9" fillId="8" borderId="5" xfId="0" applyNumberFormat="1" applyFont="1" applyFill="1" applyBorder="1" applyAlignment="1">
      <alignment horizontal="center" vertical="center"/>
    </xf>
    <xf numFmtId="167" fontId="9" fillId="8" borderId="1" xfId="0" applyNumberFormat="1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 applyProtection="1">
      <alignment horizontal="right" vertical="center" indent="2"/>
      <protection locked="0"/>
    </xf>
    <xf numFmtId="1" fontId="9" fillId="5" borderId="1" xfId="0" applyNumberFormat="1" applyFont="1" applyFill="1" applyBorder="1" applyAlignment="1" applyProtection="1">
      <alignment horizontal="right" vertical="center" indent="2"/>
      <protection locked="0"/>
    </xf>
    <xf numFmtId="0" fontId="4" fillId="2" borderId="5" xfId="0" applyFont="1" applyFill="1" applyBorder="1" applyAlignment="1">
      <alignment horizontal="left" shrinkToFit="1"/>
    </xf>
    <xf numFmtId="0" fontId="4" fillId="2" borderId="13" xfId="0" applyFont="1" applyFill="1" applyBorder="1" applyAlignment="1">
      <alignment horizontal="left" shrinkToFit="1"/>
    </xf>
    <xf numFmtId="0" fontId="4" fillId="2" borderId="1" xfId="0" applyFont="1" applyFill="1" applyBorder="1" applyAlignment="1">
      <alignment horizontal="left" shrinkToFit="1"/>
    </xf>
    <xf numFmtId="0" fontId="0" fillId="3" borderId="5" xfId="0" applyFill="1" applyBorder="1" applyAlignment="1" applyProtection="1">
      <alignment horizontal="right" indent="1"/>
      <protection/>
    </xf>
    <xf numFmtId="0" fontId="0" fillId="3" borderId="1" xfId="0" applyFont="1" applyFill="1" applyBorder="1" applyAlignment="1" applyProtection="1">
      <alignment horizontal="right" indent="1"/>
      <protection/>
    </xf>
    <xf numFmtId="0" fontId="4" fillId="3" borderId="2" xfId="0" applyFont="1" applyFill="1" applyBorder="1" applyAlignment="1" applyProtection="1">
      <alignment horizontal="right" indent="1"/>
      <protection/>
    </xf>
    <xf numFmtId="168" fontId="4" fillId="3" borderId="2" xfId="0" applyNumberFormat="1" applyFont="1" applyFill="1" applyBorder="1" applyAlignment="1" applyProtection="1">
      <alignment horizontal="right" indent="1"/>
      <protection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167" fontId="4" fillId="3" borderId="2" xfId="0" applyNumberFormat="1" applyFont="1" applyFill="1" applyBorder="1" applyAlignment="1" applyProtection="1">
      <alignment horizontal="right" indent="1"/>
      <protection/>
    </xf>
    <xf numFmtId="0" fontId="4" fillId="2" borderId="2" xfId="0" applyFont="1" applyFill="1" applyBorder="1" applyAlignment="1">
      <alignment horizontal="center" vertical="center" shrinkToFit="1"/>
    </xf>
    <xf numFmtId="166" fontId="4" fillId="9" borderId="5" xfId="0" applyNumberFormat="1" applyFont="1" applyFill="1" applyBorder="1" applyAlignment="1">
      <alignment horizontal="right" indent="1" shrinkToFit="1"/>
    </xf>
    <xf numFmtId="166" fontId="4" fillId="9" borderId="1" xfId="0" applyNumberFormat="1" applyFont="1" applyFill="1" applyBorder="1" applyAlignment="1">
      <alignment horizontal="right" indent="1" shrinkToFit="1"/>
    </xf>
    <xf numFmtId="3" fontId="7" fillId="5" borderId="2" xfId="0" applyNumberFormat="1" applyFont="1" applyFill="1" applyBorder="1" applyAlignment="1" applyProtection="1">
      <alignment horizontal="right" indent="1" shrinkToFit="1"/>
      <protection locked="0"/>
    </xf>
    <xf numFmtId="166" fontId="7" fillId="5" borderId="2" xfId="0" applyNumberFormat="1" applyFont="1" applyFill="1" applyBorder="1" applyAlignment="1" applyProtection="1">
      <alignment horizontal="right" indent="1" shrinkToFit="1"/>
      <protection locked="0"/>
    </xf>
    <xf numFmtId="1" fontId="9" fillId="3" borderId="5" xfId="0" applyNumberFormat="1" applyFont="1" applyFill="1" applyBorder="1" applyAlignment="1">
      <alignment horizontal="right" vertical="center" indent="2"/>
    </xf>
    <xf numFmtId="1" fontId="9" fillId="3" borderId="1" xfId="0" applyNumberFormat="1" applyFont="1" applyFill="1" applyBorder="1" applyAlignment="1">
      <alignment horizontal="right" vertical="center" indent="2"/>
    </xf>
    <xf numFmtId="10" fontId="4" fillId="7" borderId="2" xfId="0" applyNumberFormat="1" applyFont="1" applyFill="1" applyBorder="1" applyAlignment="1">
      <alignment horizontal="right" indent="1"/>
    </xf>
    <xf numFmtId="0" fontId="4" fillId="7" borderId="2" xfId="0" applyFont="1" applyFill="1" applyBorder="1" applyAlignment="1">
      <alignment horizontal="right" indent="1"/>
    </xf>
    <xf numFmtId="167" fontId="4" fillId="3" borderId="5" xfId="0" applyNumberFormat="1" applyFont="1" applyFill="1" applyBorder="1" applyAlignment="1">
      <alignment horizontal="right" vertical="center" indent="1" shrinkToFit="1"/>
    </xf>
    <xf numFmtId="167" fontId="4" fillId="3" borderId="1" xfId="0" applyNumberFormat="1" applyFont="1" applyFill="1" applyBorder="1" applyAlignment="1">
      <alignment horizontal="right" vertical="center" indent="1" shrinkToFit="1"/>
    </xf>
    <xf numFmtId="166" fontId="7" fillId="9" borderId="5" xfId="0" applyNumberFormat="1" applyFont="1" applyFill="1" applyBorder="1" applyAlignment="1">
      <alignment horizontal="right" indent="1" shrinkToFit="1"/>
    </xf>
    <xf numFmtId="166" fontId="7" fillId="9" borderId="1" xfId="0" applyNumberFormat="1" applyFont="1" applyFill="1" applyBorder="1" applyAlignment="1">
      <alignment horizontal="right" indent="1" shrinkToFit="1"/>
    </xf>
    <xf numFmtId="166" fontId="7" fillId="5" borderId="5" xfId="0" applyNumberFormat="1" applyFont="1" applyFill="1" applyBorder="1" applyAlignment="1" applyProtection="1">
      <alignment horizontal="right" vertical="center" indent="1" shrinkToFit="1"/>
      <protection locked="0"/>
    </xf>
    <xf numFmtId="166" fontId="7" fillId="5" borderId="1" xfId="0" applyNumberFormat="1" applyFont="1" applyFill="1" applyBorder="1" applyAlignment="1" applyProtection="1">
      <alignment horizontal="right" vertical="center" indent="1" shrinkToFit="1"/>
      <protection locked="0"/>
    </xf>
    <xf numFmtId="3" fontId="7" fillId="3" borderId="2" xfId="0" applyNumberFormat="1" applyFont="1" applyFill="1" applyBorder="1" applyAlignment="1">
      <alignment horizontal="right" inden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9" fillId="5" borderId="7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9" fillId="5" borderId="21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164" fontId="9" fillId="5" borderId="7" xfId="0" applyNumberFormat="1" applyFont="1" applyFill="1" applyBorder="1" applyAlignment="1" applyProtection="1">
      <alignment horizontal="center" vertical="center"/>
      <protection locked="0"/>
    </xf>
    <xf numFmtId="164" fontId="9" fillId="5" borderId="8" xfId="0" applyNumberFormat="1" applyFont="1" applyFill="1" applyBorder="1" applyAlignment="1" applyProtection="1">
      <alignment horizontal="center" vertical="center"/>
      <protection locked="0"/>
    </xf>
    <xf numFmtId="164" fontId="9" fillId="5" borderId="3" xfId="0" applyNumberFormat="1" applyFont="1" applyFill="1" applyBorder="1" applyAlignment="1" applyProtection="1">
      <alignment horizontal="center" vertical="center"/>
      <protection locked="0"/>
    </xf>
    <xf numFmtId="164" fontId="9" fillId="5" borderId="21" xfId="0" applyNumberFormat="1" applyFont="1" applyFill="1" applyBorder="1" applyAlignment="1" applyProtection="1">
      <alignment horizontal="center" vertical="center"/>
      <protection locked="0"/>
    </xf>
    <xf numFmtId="164" fontId="9" fillId="5" borderId="9" xfId="0" applyNumberFormat="1" applyFont="1" applyFill="1" applyBorder="1" applyAlignment="1" applyProtection="1">
      <alignment horizontal="center" vertical="center"/>
      <protection locked="0"/>
    </xf>
    <xf numFmtId="164" fontId="9" fillId="5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/>
    </xf>
    <xf numFmtId="165" fontId="7" fillId="5" borderId="2" xfId="0" applyNumberFormat="1" applyFont="1" applyFill="1" applyBorder="1" applyAlignment="1" applyProtection="1">
      <alignment horizontal="right" indent="1"/>
      <protection locked="0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 applyProtection="1">
      <alignment horizontal="right" indent="1"/>
      <protection locked="0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7" fillId="5" borderId="23" xfId="0" applyNumberFormat="1" applyFont="1" applyFill="1" applyBorder="1" applyAlignment="1" applyProtection="1">
      <alignment horizontal="right" indent="1"/>
      <protection locked="0"/>
    </xf>
    <xf numFmtId="168" fontId="7" fillId="5" borderId="2" xfId="0" applyNumberFormat="1" applyFont="1" applyFill="1" applyBorder="1" applyAlignment="1" applyProtection="1">
      <alignment horizontal="right" indent="1"/>
      <protection locked="0"/>
    </xf>
    <xf numFmtId="165" fontId="7" fillId="5" borderId="19" xfId="0" applyNumberFormat="1" applyFont="1" applyFill="1" applyBorder="1" applyAlignment="1" applyProtection="1">
      <alignment horizontal="right" indent="1"/>
      <protection locked="0"/>
    </xf>
    <xf numFmtId="168" fontId="7" fillId="3" borderId="2" xfId="0" applyNumberFormat="1" applyFont="1" applyFill="1" applyBorder="1" applyAlignment="1" applyProtection="1">
      <alignment horizontal="right" indent="1"/>
      <protection locked="0"/>
    </xf>
    <xf numFmtId="0" fontId="7" fillId="2" borderId="5" xfId="0" applyFont="1" applyFill="1" applyBorder="1" applyAlignment="1">
      <alignment horizontal="left" shrinkToFit="1"/>
    </xf>
    <xf numFmtId="0" fontId="8" fillId="2" borderId="1" xfId="0" applyFont="1" applyFill="1" applyBorder="1" applyAlignment="1">
      <alignment horizontal="left" shrinkToFit="1"/>
    </xf>
    <xf numFmtId="0" fontId="4" fillId="2" borderId="7" xfId="0" applyFont="1" applyFill="1" applyBorder="1" applyAlignment="1">
      <alignment horizontal="left" shrinkToFit="1"/>
    </xf>
    <xf numFmtId="0" fontId="4" fillId="2" borderId="3" xfId="0" applyFont="1" applyFill="1" applyBorder="1" applyAlignment="1">
      <alignment horizontal="left" shrinkToFit="1"/>
    </xf>
    <xf numFmtId="0" fontId="5" fillId="2" borderId="2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shrinkToFit="1"/>
    </xf>
    <xf numFmtId="0" fontId="7" fillId="2" borderId="1" xfId="0" applyFont="1" applyFill="1" applyBorder="1" applyAlignment="1">
      <alignment horizontal="left" shrinkToFit="1"/>
    </xf>
    <xf numFmtId="0" fontId="7" fillId="2" borderId="2" xfId="0" applyFont="1" applyFill="1" applyBorder="1" applyAlignment="1">
      <alignment horizontal="left" shrinkToFit="1"/>
    </xf>
    <xf numFmtId="0" fontId="12" fillId="0" borderId="0" xfId="0" applyFont="1" applyAlignment="1">
      <alignment horizontal="left" wrapText="1"/>
    </xf>
    <xf numFmtId="168" fontId="7" fillId="3" borderId="23" xfId="0" applyNumberFormat="1" applyFont="1" applyFill="1" applyBorder="1" applyAlignment="1" applyProtection="1">
      <alignment horizontal="right" indent="1"/>
      <protection locked="0"/>
    </xf>
    <xf numFmtId="0" fontId="4" fillId="2" borderId="24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23" xfId="0" applyFont="1" applyFill="1" applyBorder="1" applyAlignment="1">
      <alignment horizontal="center" vertical="center" textRotation="90"/>
    </xf>
    <xf numFmtId="169" fontId="7" fillId="3" borderId="5" xfId="0" applyNumberFormat="1" applyFont="1" applyFill="1" applyBorder="1" applyAlignment="1">
      <alignment horizontal="center" vertical="center" shrinkToFit="1"/>
    </xf>
    <xf numFmtId="169" fontId="7" fillId="3" borderId="13" xfId="0" applyNumberFormat="1" applyFont="1" applyFill="1" applyBorder="1" applyAlignment="1">
      <alignment horizontal="center" vertical="center" shrinkToFit="1"/>
    </xf>
    <xf numFmtId="169" fontId="7" fillId="3" borderId="1" xfId="0" applyNumberFormat="1" applyFont="1" applyFill="1" applyBorder="1" applyAlignment="1">
      <alignment horizontal="center" vertical="center" shrinkToFit="1"/>
    </xf>
    <xf numFmtId="169" fontId="7" fillId="3" borderId="5" xfId="0" applyNumberFormat="1" applyFont="1" applyFill="1" applyBorder="1" applyAlignment="1">
      <alignment horizontal="center" shrinkToFit="1"/>
    </xf>
    <xf numFmtId="169" fontId="7" fillId="3" borderId="13" xfId="0" applyNumberFormat="1" applyFont="1" applyFill="1" applyBorder="1" applyAlignment="1">
      <alignment horizontal="center" shrinkToFit="1"/>
    </xf>
    <xf numFmtId="169" fontId="7" fillId="3" borderId="1" xfId="0" applyNumberFormat="1" applyFont="1" applyFill="1" applyBorder="1" applyAlignment="1">
      <alignment horizontal="center" shrinkToFit="1"/>
    </xf>
    <xf numFmtId="169" fontId="7" fillId="3" borderId="25" xfId="0" applyNumberFormat="1" applyFont="1" applyFill="1" applyBorder="1" applyAlignment="1">
      <alignment horizontal="center" vertical="center" shrinkToFit="1"/>
    </xf>
    <xf numFmtId="169" fontId="7" fillId="3" borderId="26" xfId="0" applyNumberFormat="1" applyFont="1" applyFill="1" applyBorder="1" applyAlignment="1">
      <alignment horizontal="center" vertical="center" shrinkToFit="1"/>
    </xf>
    <xf numFmtId="169" fontId="7" fillId="3" borderId="27" xfId="0" applyNumberFormat="1" applyFont="1" applyFill="1" applyBorder="1" applyAlignment="1">
      <alignment horizontal="center" vertical="center" shrinkToFit="1"/>
    </xf>
    <xf numFmtId="169" fontId="7" fillId="3" borderId="5" xfId="0" applyNumberFormat="1" applyFont="1" applyFill="1" applyBorder="1" applyAlignment="1">
      <alignment horizontal="right" vertical="center" indent="1" shrinkToFit="1"/>
    </xf>
    <xf numFmtId="169" fontId="7" fillId="3" borderId="1" xfId="0" applyNumberFormat="1" applyFont="1" applyFill="1" applyBorder="1" applyAlignment="1">
      <alignment horizontal="right" vertical="center" indent="1" shrinkToFit="1"/>
    </xf>
    <xf numFmtId="3" fontId="7" fillId="3" borderId="5" xfId="0" applyNumberFormat="1" applyFont="1" applyFill="1" applyBorder="1" applyAlignment="1">
      <alignment horizontal="right" vertical="center" indent="1" shrinkToFit="1"/>
    </xf>
    <xf numFmtId="3" fontId="7" fillId="3" borderId="1" xfId="0" applyNumberFormat="1" applyFont="1" applyFill="1" applyBorder="1" applyAlignment="1">
      <alignment horizontal="right" vertical="center" indent="1" shrinkToFit="1"/>
    </xf>
    <xf numFmtId="169" fontId="4" fillId="3" borderId="5" xfId="0" applyNumberFormat="1" applyFont="1" applyFill="1" applyBorder="1" applyAlignment="1">
      <alignment horizontal="right" indent="1"/>
    </xf>
    <xf numFmtId="169" fontId="4" fillId="3" borderId="1" xfId="0" applyNumberFormat="1" applyFont="1" applyFill="1" applyBorder="1" applyAlignment="1">
      <alignment horizontal="right" indent="1"/>
    </xf>
    <xf numFmtId="167" fontId="4" fillId="3" borderId="23" xfId="0" applyNumberFormat="1" applyFont="1" applyFill="1" applyBorder="1" applyAlignment="1">
      <alignment horizontal="right" indent="1" shrinkToFit="1"/>
    </xf>
    <xf numFmtId="0" fontId="4" fillId="2" borderId="25" xfId="0" applyFont="1" applyFill="1" applyBorder="1" applyAlignment="1">
      <alignment horizontal="left" shrinkToFit="1"/>
    </xf>
    <xf numFmtId="0" fontId="4" fillId="2" borderId="27" xfId="0" applyFont="1" applyFill="1" applyBorder="1" applyAlignment="1">
      <alignment horizontal="left" shrinkToFit="1"/>
    </xf>
    <xf numFmtId="0" fontId="4" fillId="2" borderId="23" xfId="0" applyFont="1" applyFill="1" applyBorder="1" applyAlignment="1">
      <alignment horizontal="left" indent="1" shrinkToFit="1"/>
    </xf>
    <xf numFmtId="169" fontId="7" fillId="3" borderId="23" xfId="0" applyNumberFormat="1" applyFont="1" applyFill="1" applyBorder="1" applyAlignment="1">
      <alignment horizontal="right" indent="1" shrinkToFit="1"/>
    </xf>
    <xf numFmtId="3" fontId="7" fillId="5" borderId="23" xfId="0" applyNumberFormat="1" applyFont="1" applyFill="1" applyBorder="1" applyAlignment="1" applyProtection="1">
      <alignment horizontal="right" indent="1" shrinkToFit="1"/>
      <protection locked="0"/>
    </xf>
    <xf numFmtId="0" fontId="10" fillId="2" borderId="25" xfId="0" applyFont="1" applyFill="1" applyBorder="1" applyAlignment="1">
      <alignment horizontal="left" shrinkToFit="1"/>
    </xf>
    <xf numFmtId="0" fontId="10" fillId="2" borderId="27" xfId="0" applyFont="1" applyFill="1" applyBorder="1" applyAlignment="1">
      <alignment horizontal="left" shrinkToFit="1"/>
    </xf>
    <xf numFmtId="169" fontId="7" fillId="3" borderId="25" xfId="0" applyNumberFormat="1" applyFont="1" applyFill="1" applyBorder="1" applyAlignment="1">
      <alignment horizontal="right" vertical="center" indent="1" shrinkToFit="1"/>
    </xf>
    <xf numFmtId="169" fontId="7" fillId="3" borderId="27" xfId="0" applyNumberFormat="1" applyFont="1" applyFill="1" applyBorder="1" applyAlignment="1">
      <alignment horizontal="right" vertical="center" indent="1" shrinkToFit="1"/>
    </xf>
    <xf numFmtId="3" fontId="7" fillId="3" borderId="25" xfId="0" applyNumberFormat="1" applyFont="1" applyFill="1" applyBorder="1" applyAlignment="1">
      <alignment horizontal="right" vertical="center" indent="1" shrinkToFit="1"/>
    </xf>
    <xf numFmtId="3" fontId="7" fillId="3" borderId="27" xfId="0" applyNumberFormat="1" applyFont="1" applyFill="1" applyBorder="1" applyAlignment="1">
      <alignment horizontal="right" vertical="center" indent="1" shrinkToFit="1"/>
    </xf>
    <xf numFmtId="166" fontId="7" fillId="3" borderId="21" xfId="0" applyNumberFormat="1" applyFont="1" applyFill="1" applyBorder="1" applyAlignment="1">
      <alignment horizontal="right" vertical="center" indent="1" shrinkToFit="1"/>
    </xf>
    <xf numFmtId="166" fontId="7" fillId="3" borderId="22" xfId="0" applyNumberFormat="1" applyFont="1" applyFill="1" applyBorder="1" applyAlignment="1">
      <alignment horizontal="right" vertical="center" indent="1" shrinkToFit="1"/>
    </xf>
    <xf numFmtId="167" fontId="4" fillId="3" borderId="25" xfId="0" applyNumberFormat="1" applyFont="1" applyFill="1" applyBorder="1" applyAlignment="1">
      <alignment horizontal="right" vertical="center" indent="1" shrinkToFit="1"/>
    </xf>
    <xf numFmtId="167" fontId="4" fillId="3" borderId="27" xfId="0" applyNumberFormat="1" applyFont="1" applyFill="1" applyBorder="1" applyAlignment="1">
      <alignment horizontal="right" vertical="center" indent="1" shrinkToFi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wrapText="1" shrinkToFit="1"/>
    </xf>
    <xf numFmtId="0" fontId="4" fillId="2" borderId="3" xfId="0" applyFont="1" applyFill="1" applyBorder="1" applyAlignment="1">
      <alignment horizontal="center" wrapText="1" shrinkToFit="1"/>
    </xf>
    <xf numFmtId="0" fontId="4" fillId="2" borderId="21" xfId="0" applyFont="1" applyFill="1" applyBorder="1" applyAlignment="1">
      <alignment horizontal="center" wrapText="1" shrinkToFit="1"/>
    </xf>
    <xf numFmtId="0" fontId="4" fillId="2" borderId="22" xfId="0" applyFont="1" applyFill="1" applyBorder="1" applyAlignment="1">
      <alignment horizontal="center" wrapText="1" shrinkToFit="1"/>
    </xf>
    <xf numFmtId="0" fontId="4" fillId="2" borderId="5" xfId="0" applyFont="1" applyFill="1" applyBorder="1" applyAlignment="1">
      <alignment horizontal="left" indent="1" shrinkToFit="1"/>
    </xf>
    <xf numFmtId="0" fontId="4" fillId="2" borderId="1" xfId="0" applyFont="1" applyFill="1" applyBorder="1" applyAlignment="1">
      <alignment horizontal="left" indent="1" shrinkToFit="1"/>
    </xf>
    <xf numFmtId="0" fontId="4" fillId="2" borderId="7" xfId="0" applyFont="1" applyFill="1" applyBorder="1" applyAlignment="1">
      <alignment horizontal="left" indent="1" shrinkToFit="1"/>
    </xf>
    <xf numFmtId="0" fontId="4" fillId="2" borderId="3" xfId="0" applyFont="1" applyFill="1" applyBorder="1" applyAlignment="1">
      <alignment horizontal="left" indent="1" shrinkToFit="1"/>
    </xf>
    <xf numFmtId="169" fontId="7" fillId="3" borderId="7" xfId="0" applyNumberFormat="1" applyFont="1" applyFill="1" applyBorder="1" applyAlignment="1">
      <alignment horizontal="right" vertical="center" indent="1" shrinkToFit="1"/>
    </xf>
    <xf numFmtId="169" fontId="7" fillId="3" borderId="3" xfId="0" applyNumberFormat="1" applyFont="1" applyFill="1" applyBorder="1" applyAlignment="1">
      <alignment horizontal="right" vertical="center" indent="1" shrinkToFit="1"/>
    </xf>
    <xf numFmtId="3" fontId="7" fillId="3" borderId="7" xfId="0" applyNumberFormat="1" applyFont="1" applyFill="1" applyBorder="1" applyAlignment="1">
      <alignment horizontal="right" vertical="center" indent="1" shrinkToFit="1"/>
    </xf>
    <xf numFmtId="3" fontId="7" fillId="3" borderId="3" xfId="0" applyNumberFormat="1" applyFont="1" applyFill="1" applyBorder="1" applyAlignment="1">
      <alignment horizontal="right" vertical="center" indent="1" shrinkToFit="1"/>
    </xf>
    <xf numFmtId="166" fontId="7" fillId="5" borderId="28" xfId="0" applyNumberFormat="1" applyFont="1" applyFill="1" applyBorder="1" applyAlignment="1" applyProtection="1">
      <alignment horizontal="right" vertical="center" indent="1" shrinkToFit="1"/>
      <protection locked="0"/>
    </xf>
    <xf numFmtId="166" fontId="7" fillId="5" borderId="29" xfId="0" applyNumberFormat="1" applyFont="1" applyFill="1" applyBorder="1" applyAlignment="1" applyProtection="1">
      <alignment horizontal="right" vertical="center" indent="1" shrinkToFit="1"/>
      <protection locked="0"/>
    </xf>
    <xf numFmtId="167" fontId="7" fillId="3" borderId="2" xfId="0" applyNumberFormat="1" applyFont="1" applyFill="1" applyBorder="1" applyAlignment="1">
      <alignment horizontal="right" indent="1"/>
    </xf>
    <xf numFmtId="10" fontId="7" fillId="10" borderId="2" xfId="0" applyNumberFormat="1" applyFont="1" applyFill="1" applyBorder="1" applyAlignment="1">
      <alignment horizontal="center"/>
    </xf>
    <xf numFmtId="10" fontId="7" fillId="3" borderId="2" xfId="0" applyNumberFormat="1" applyFont="1" applyFill="1" applyBorder="1" applyAlignment="1">
      <alignment horizontal="center"/>
    </xf>
    <xf numFmtId="2" fontId="7" fillId="5" borderId="2" xfId="0" applyNumberFormat="1" applyFont="1" applyFill="1" applyBorder="1" applyAlignment="1" applyProtection="1">
      <alignment horizontal="right" indent="1"/>
      <protection locked="0"/>
    </xf>
    <xf numFmtId="0" fontId="7" fillId="5" borderId="2" xfId="0" applyFont="1" applyFill="1" applyBorder="1" applyAlignment="1" applyProtection="1">
      <alignment horizontal="right" indent="1"/>
      <protection locked="0"/>
    </xf>
    <xf numFmtId="166" fontId="7" fillId="5" borderId="2" xfId="0" applyNumberFormat="1" applyFont="1" applyFill="1" applyBorder="1" applyAlignment="1" applyProtection="1">
      <alignment horizontal="right" indent="1"/>
      <protection locked="0"/>
    </xf>
    <xf numFmtId="0" fontId="4" fillId="2" borderId="2" xfId="0" applyFont="1" applyFill="1" applyBorder="1" applyAlignment="1">
      <alignment horizontal="left" indent="1" shrinkToFit="1"/>
    </xf>
    <xf numFmtId="169" fontId="7" fillId="3" borderId="2" xfId="0" applyNumberFormat="1" applyFont="1" applyFill="1" applyBorder="1" applyAlignment="1">
      <alignment horizontal="right" indent="1" shrinkToFit="1"/>
    </xf>
    <xf numFmtId="0" fontId="4" fillId="2" borderId="19" xfId="0" applyFont="1" applyFill="1" applyBorder="1" applyAlignment="1">
      <alignment horizontal="center" shrinkToFit="1"/>
    </xf>
    <xf numFmtId="0" fontId="4" fillId="2" borderId="19" xfId="0" applyFont="1" applyFill="1" applyBorder="1" applyAlignment="1">
      <alignment horizontal="left" shrinkToFit="1"/>
    </xf>
    <xf numFmtId="1" fontId="7" fillId="3" borderId="2" xfId="0" applyNumberFormat="1" applyFont="1" applyFill="1" applyBorder="1" applyAlignment="1">
      <alignment horizontal="center"/>
    </xf>
    <xf numFmtId="166" fontId="7" fillId="5" borderId="23" xfId="0" applyNumberFormat="1" applyFont="1" applyFill="1" applyBorder="1" applyAlignment="1" applyProtection="1">
      <alignment horizontal="right" indent="1" shrinkToFit="1"/>
      <protection locked="0"/>
    </xf>
    <xf numFmtId="1" fontId="7" fillId="3" borderId="2" xfId="0" applyNumberFormat="1" applyFont="1" applyFill="1" applyBorder="1" applyAlignment="1">
      <alignment horizontal="right" indent="1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 shrinkToFit="1"/>
      <protection locked="0"/>
    </xf>
    <xf numFmtId="165" fontId="7" fillId="10" borderId="2" xfId="0" applyNumberFormat="1" applyFont="1" applyFill="1" applyBorder="1" applyAlignment="1">
      <alignment horizontal="right" indent="1"/>
    </xf>
    <xf numFmtId="1" fontId="7" fillId="10" borderId="2" xfId="0" applyNumberFormat="1" applyFont="1" applyFill="1" applyBorder="1" applyAlignment="1">
      <alignment horizontal="center"/>
    </xf>
    <xf numFmtId="166" fontId="7" fillId="10" borderId="2" xfId="0" applyNumberFormat="1" applyFont="1" applyFill="1" applyBorder="1" applyAlignment="1">
      <alignment horizontal="center"/>
    </xf>
    <xf numFmtId="2" fontId="7" fillId="10" borderId="2" xfId="0" applyNumberFormat="1" applyFont="1" applyFill="1" applyBorder="1" applyAlignment="1">
      <alignment horizontal="center"/>
    </xf>
    <xf numFmtId="165" fontId="7" fillId="10" borderId="2" xfId="0" applyNumberFormat="1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10" fontId="7" fillId="3" borderId="2" xfId="0" applyNumberFormat="1" applyFont="1" applyFill="1" applyBorder="1" applyAlignment="1">
      <alignment horizontal="right" indent="1"/>
    </xf>
    <xf numFmtId="1" fontId="4" fillId="3" borderId="2" xfId="0" applyNumberFormat="1" applyFont="1" applyFill="1" applyBorder="1" applyAlignment="1">
      <alignment horizontal="right" indent="1" shrinkToFit="1"/>
    </xf>
    <xf numFmtId="0" fontId="4" fillId="3" borderId="2" xfId="0" applyFont="1" applyFill="1" applyBorder="1" applyAlignment="1">
      <alignment horizontal="right" inden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22" xfId="0" applyFont="1" applyFill="1" applyBorder="1" applyAlignment="1">
      <alignment horizontal="center" vertical="center" wrapText="1" shrinkToFit="1"/>
    </xf>
    <xf numFmtId="167" fontId="4" fillId="5" borderId="2" xfId="0" applyNumberFormat="1" applyFont="1" applyFill="1" applyBorder="1" applyAlignment="1" applyProtection="1">
      <alignment horizontal="right" indent="1" shrinkToFit="1"/>
      <protection locked="0"/>
    </xf>
    <xf numFmtId="0" fontId="4" fillId="5" borderId="2" xfId="0" applyFont="1" applyFill="1" applyBorder="1" applyAlignment="1" applyProtection="1">
      <alignment horizontal="right" indent="1" shrinkToFit="1"/>
      <protection locked="0"/>
    </xf>
    <xf numFmtId="167" fontId="4" fillId="5" borderId="19" xfId="0" applyNumberFormat="1" applyFont="1" applyFill="1" applyBorder="1" applyAlignment="1" applyProtection="1">
      <alignment horizontal="right" indent="1" shrinkToFit="1"/>
      <protection locked="0"/>
    </xf>
    <xf numFmtId="0" fontId="4" fillId="2" borderId="23" xfId="0" applyFont="1" applyFill="1" applyBorder="1" applyAlignment="1">
      <alignment horizontal="center" shrinkToFit="1"/>
    </xf>
    <xf numFmtId="0" fontId="4" fillId="2" borderId="9" xfId="0" applyFont="1" applyFill="1" applyBorder="1" applyAlignment="1">
      <alignment horizontal="center" wrapText="1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3" fontId="4" fillId="5" borderId="2" xfId="0" applyNumberFormat="1" applyFont="1" applyFill="1" applyBorder="1" applyAlignment="1" applyProtection="1">
      <alignment horizontal="right" indent="1" shrinkToFit="1"/>
      <protection locked="0"/>
    </xf>
    <xf numFmtId="1" fontId="4" fillId="5" borderId="2" xfId="0" applyNumberFormat="1" applyFont="1" applyFill="1" applyBorder="1" applyAlignment="1" applyProtection="1">
      <alignment horizontal="right" indent="1" shrinkToFit="1"/>
      <protection locked="0"/>
    </xf>
    <xf numFmtId="5" fontId="4" fillId="3" borderId="2" xfId="0" applyNumberFormat="1" applyFont="1" applyFill="1" applyBorder="1" applyAlignment="1">
      <alignment horizontal="right" shrinkToFit="1"/>
    </xf>
    <xf numFmtId="5" fontId="4" fillId="3" borderId="2" xfId="0" applyNumberFormat="1" applyFont="1" applyFill="1" applyBorder="1" applyAlignment="1" applyProtection="1">
      <alignment horizontal="right" shrinkToFit="1"/>
      <protection/>
    </xf>
    <xf numFmtId="165" fontId="4" fillId="5" borderId="2" xfId="0" applyNumberFormat="1" applyFont="1" applyFill="1" applyBorder="1" applyAlignment="1" applyProtection="1">
      <alignment horizontal="right" indent="1" shrinkToFit="1"/>
      <protection locked="0"/>
    </xf>
    <xf numFmtId="166" fontId="4" fillId="5" borderId="2" xfId="0" applyNumberFormat="1" applyFont="1" applyFill="1" applyBorder="1" applyAlignment="1" applyProtection="1">
      <alignment horizontal="right" indent="1" shrinkToFit="1"/>
      <protection locked="0"/>
    </xf>
    <xf numFmtId="10" fontId="4" fillId="5" borderId="5" xfId="0" applyNumberFormat="1" applyFont="1" applyFill="1" applyBorder="1" applyAlignment="1" applyProtection="1">
      <alignment horizontal="right" indent="1" shrinkToFit="1"/>
      <protection locked="0"/>
    </xf>
    <xf numFmtId="10" fontId="4" fillId="5" borderId="1" xfId="0" applyNumberFormat="1" applyFont="1" applyFill="1" applyBorder="1" applyAlignment="1" applyProtection="1">
      <alignment horizontal="right" indent="1" shrinkToFit="1"/>
      <protection locked="0"/>
    </xf>
    <xf numFmtId="166" fontId="4" fillId="3" borderId="2" xfId="0" applyNumberFormat="1" applyFont="1" applyFill="1" applyBorder="1" applyAlignment="1">
      <alignment horizontal="right" indent="1" shrinkToFit="1"/>
    </xf>
    <xf numFmtId="10" fontId="4" fillId="3" borderId="5" xfId="0" applyNumberFormat="1" applyFont="1" applyFill="1" applyBorder="1" applyAlignment="1">
      <alignment horizontal="right" indent="1" shrinkToFit="1"/>
    </xf>
    <xf numFmtId="10" fontId="4" fillId="3" borderId="1" xfId="0" applyNumberFormat="1" applyFont="1" applyFill="1" applyBorder="1" applyAlignment="1">
      <alignment horizontal="right" indent="1" shrinkToFit="1"/>
    </xf>
    <xf numFmtId="0" fontId="4" fillId="10" borderId="2" xfId="0" applyFont="1" applyFill="1" applyBorder="1" applyAlignment="1">
      <alignment horizontal="right" indent="1" shrinkToFit="1"/>
    </xf>
    <xf numFmtId="1" fontId="4" fillId="10" borderId="2" xfId="0" applyNumberFormat="1" applyFont="1" applyFill="1" applyBorder="1" applyAlignment="1">
      <alignment horizontal="right" indent="1" shrinkToFit="1"/>
    </xf>
    <xf numFmtId="0" fontId="4" fillId="3" borderId="2" xfId="0" applyFont="1" applyFill="1" applyBorder="1" applyAlignment="1">
      <alignment horizontal="center" shrinkToFit="1"/>
    </xf>
    <xf numFmtId="3" fontId="4" fillId="3" borderId="2" xfId="0" applyNumberFormat="1" applyFont="1" applyFill="1" applyBorder="1" applyAlignment="1">
      <alignment horizontal="right" indent="1" shrinkToFit="1"/>
    </xf>
    <xf numFmtId="39" fontId="4" fillId="3" borderId="5" xfId="0" applyNumberFormat="1" applyFont="1" applyFill="1" applyBorder="1" applyAlignment="1">
      <alignment horizontal="right" indent="1" shrinkToFit="1"/>
    </xf>
    <xf numFmtId="39" fontId="4" fillId="3" borderId="1" xfId="0" applyNumberFormat="1" applyFont="1" applyFill="1" applyBorder="1" applyAlignment="1">
      <alignment horizontal="right" indent="1" shrinkToFit="1"/>
    </xf>
    <xf numFmtId="167" fontId="4" fillId="3" borderId="5" xfId="0" applyNumberFormat="1" applyFont="1" applyFill="1" applyBorder="1" applyAlignment="1">
      <alignment horizontal="right" indent="1" shrinkToFit="1"/>
    </xf>
    <xf numFmtId="167" fontId="4" fillId="3" borderId="1" xfId="0" applyNumberFormat="1" applyFont="1" applyFill="1" applyBorder="1" applyAlignment="1">
      <alignment horizontal="right" indent="1" shrinkToFit="1"/>
    </xf>
    <xf numFmtId="0" fontId="4" fillId="2" borderId="21" xfId="0" applyFont="1" applyFill="1" applyBorder="1" applyAlignment="1">
      <alignment horizontal="left" shrinkToFit="1"/>
    </xf>
    <xf numFmtId="0" fontId="4" fillId="2" borderId="22" xfId="0" applyFont="1" applyFill="1" applyBorder="1" applyAlignment="1">
      <alignment horizontal="left" shrinkToFit="1"/>
    </xf>
    <xf numFmtId="0" fontId="4" fillId="2" borderId="8" xfId="0" applyFont="1" applyFill="1" applyBorder="1" applyAlignment="1">
      <alignment horizontal="center" wrapText="1" shrinkToFit="1"/>
    </xf>
    <xf numFmtId="0" fontId="5" fillId="6" borderId="2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21" xfId="0" applyFont="1" applyFill="1" applyBorder="1" applyAlignment="1">
      <alignment horizontal="center" vertical="center" wrapText="1" shrinkToFit="1"/>
    </xf>
    <xf numFmtId="0" fontId="4" fillId="3" borderId="2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3" xfId="0" applyFont="1" applyFill="1" applyBorder="1" applyAlignment="1">
      <alignment horizontal="center" wrapText="1" shrinkToFit="1"/>
    </xf>
    <xf numFmtId="0" fontId="4" fillId="2" borderId="19" xfId="0" applyFont="1" applyFill="1" applyBorder="1" applyAlignment="1">
      <alignment horizontal="center" wrapText="1" shrinkToFit="1"/>
    </xf>
    <xf numFmtId="0" fontId="4" fillId="2" borderId="21" xfId="0" applyFont="1" applyFill="1" applyBorder="1" applyAlignment="1">
      <alignment horizontal="center" shrinkToFit="1"/>
    </xf>
    <xf numFmtId="0" fontId="4" fillId="2" borderId="9" xfId="0" applyFont="1" applyFill="1" applyBorder="1" applyAlignment="1">
      <alignment horizontal="center" shrinkToFit="1"/>
    </xf>
    <xf numFmtId="0" fontId="4" fillId="2" borderId="22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left"/>
    </xf>
    <xf numFmtId="9" fontId="4" fillId="5" borderId="2" xfId="0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horizontal="left"/>
    </xf>
    <xf numFmtId="9" fontId="4" fillId="3" borderId="2" xfId="0" applyNumberFormat="1" applyFont="1" applyFill="1" applyBorder="1" applyAlignment="1">
      <alignment horizontal="right" inden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" fontId="4" fillId="2" borderId="30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 wrapText="1" shrinkToFit="1"/>
    </xf>
    <xf numFmtId="0" fontId="4" fillId="2" borderId="34" xfId="0" applyFont="1" applyFill="1" applyBorder="1" applyAlignment="1">
      <alignment horizontal="center" vertical="center" wrapText="1" shrinkToFi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 shrinkToFit="1"/>
    </xf>
    <xf numFmtId="166" fontId="4" fillId="3" borderId="5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right" indent="1"/>
    </xf>
    <xf numFmtId="166" fontId="4" fillId="5" borderId="2" xfId="0" applyNumberFormat="1" applyFont="1" applyFill="1" applyBorder="1" applyAlignment="1" applyProtection="1">
      <alignment horizontal="right" indent="1"/>
      <protection locked="0"/>
    </xf>
    <xf numFmtId="166" fontId="4" fillId="3" borderId="5" xfId="0" applyNumberFormat="1" applyFont="1" applyFill="1" applyBorder="1" applyAlignment="1">
      <alignment horizontal="right" indent="1"/>
    </xf>
    <xf numFmtId="166" fontId="4" fillId="3" borderId="1" xfId="0" applyNumberFormat="1" applyFont="1" applyFill="1" applyBorder="1" applyAlignment="1">
      <alignment horizontal="right" indent="1"/>
    </xf>
    <xf numFmtId="0" fontId="4" fillId="3" borderId="2" xfId="0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5" borderId="2" xfId="0" applyFont="1" applyFill="1" applyBorder="1" applyAlignment="1" applyProtection="1">
      <alignment horizontal="left"/>
      <protection locked="0"/>
    </xf>
    <xf numFmtId="166" fontId="4" fillId="5" borderId="7" xfId="0" applyNumberFormat="1" applyFont="1" applyFill="1" applyBorder="1" applyAlignment="1" applyProtection="1">
      <alignment horizontal="right" indent="1"/>
      <protection locked="0"/>
    </xf>
    <xf numFmtId="166" fontId="4" fillId="5" borderId="8" xfId="0" applyNumberFormat="1" applyFont="1" applyFill="1" applyBorder="1" applyAlignment="1" applyProtection="1">
      <alignment horizontal="right" indent="1"/>
      <protection locked="0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166" fontId="4" fillId="3" borderId="5" xfId="0" applyNumberFormat="1" applyFont="1" applyFill="1" applyBorder="1" applyAlignment="1">
      <alignment horizontal="center" wrapText="1" shrinkToFit="1"/>
    </xf>
    <xf numFmtId="166" fontId="4" fillId="3" borderId="1" xfId="0" applyNumberFormat="1" applyFont="1" applyFill="1" applyBorder="1" applyAlignment="1">
      <alignment horizontal="center" wrapText="1" shrinkToFit="1"/>
    </xf>
    <xf numFmtId="0" fontId="4" fillId="2" borderId="2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166" fontId="4" fillId="3" borderId="13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167" fontId="4" fillId="3" borderId="5" xfId="0" applyNumberFormat="1" applyFont="1" applyFill="1" applyBorder="1" applyAlignment="1">
      <alignment horizontal="right" indent="1"/>
    </xf>
    <xf numFmtId="167" fontId="4" fillId="3" borderId="1" xfId="0" applyNumberFormat="1" applyFont="1" applyFill="1" applyBorder="1" applyAlignment="1">
      <alignment horizontal="right" indent="1"/>
    </xf>
    <xf numFmtId="167" fontId="4" fillId="5" borderId="2" xfId="0" applyNumberFormat="1" applyFont="1" applyFill="1" applyBorder="1" applyAlignment="1" applyProtection="1">
      <alignment horizontal="right" indent="1"/>
      <protection locked="0"/>
    </xf>
    <xf numFmtId="0" fontId="0" fillId="3" borderId="5" xfId="0" applyFill="1" applyBorder="1" applyAlignment="1">
      <alignment horizontal="right" indent="1"/>
    </xf>
    <xf numFmtId="0" fontId="0" fillId="3" borderId="1" xfId="0" applyFont="1" applyFill="1" applyBorder="1" applyAlignment="1">
      <alignment horizontal="right" indent="1"/>
    </xf>
    <xf numFmtId="5" fontId="4" fillId="3" borderId="5" xfId="0" applyNumberFormat="1" applyFont="1" applyFill="1" applyBorder="1" applyAlignment="1">
      <alignment horizontal="right" indent="1"/>
    </xf>
    <xf numFmtId="5" fontId="4" fillId="3" borderId="1" xfId="0" applyNumberFormat="1" applyFont="1" applyFill="1" applyBorder="1" applyAlignment="1">
      <alignment horizontal="right" indent="1"/>
    </xf>
    <xf numFmtId="167" fontId="4" fillId="5" borderId="5" xfId="16" applyNumberFormat="1" applyFont="1" applyFill="1" applyBorder="1" applyAlignment="1" applyProtection="1">
      <alignment horizontal="right" indent="1"/>
      <protection locked="0"/>
    </xf>
    <xf numFmtId="167" fontId="4" fillId="5" borderId="1" xfId="16" applyNumberFormat="1" applyFont="1" applyFill="1" applyBorder="1" applyAlignment="1" applyProtection="1">
      <alignment horizontal="right" indent="1"/>
      <protection locked="0"/>
    </xf>
    <xf numFmtId="10" fontId="4" fillId="5" borderId="5" xfId="0" applyNumberFormat="1" applyFont="1" applyFill="1" applyBorder="1" applyAlignment="1" applyProtection="1">
      <alignment horizontal="center"/>
      <protection locked="0"/>
    </xf>
    <xf numFmtId="10" fontId="4" fillId="5" borderId="1" xfId="0" applyNumberFormat="1" applyFont="1" applyFill="1" applyBorder="1" applyAlignment="1" applyProtection="1">
      <alignment horizontal="center"/>
      <protection locked="0"/>
    </xf>
    <xf numFmtId="167" fontId="4" fillId="5" borderId="2" xfId="0" applyNumberFormat="1" applyFont="1" applyFill="1" applyBorder="1" applyAlignment="1" applyProtection="1">
      <alignment horizontal="right" indent="2"/>
      <protection locked="0"/>
    </xf>
    <xf numFmtId="167" fontId="4" fillId="3" borderId="2" xfId="0" applyNumberFormat="1" applyFont="1" applyFill="1" applyBorder="1" applyAlignment="1">
      <alignment horizontal="right" indent="2"/>
    </xf>
    <xf numFmtId="0" fontId="4" fillId="3" borderId="2" xfId="0" applyFont="1" applyFill="1" applyBorder="1" applyAlignment="1">
      <alignment horizontal="right" indent="2"/>
    </xf>
    <xf numFmtId="167" fontId="4" fillId="3" borderId="2" xfId="16" applyNumberFormat="1" applyFont="1" applyFill="1" applyBorder="1" applyAlignment="1">
      <alignment horizontal="right" indent="1"/>
    </xf>
    <xf numFmtId="1" fontId="4" fillId="5" borderId="2" xfId="0" applyNumberFormat="1" applyFont="1" applyFill="1" applyBorder="1" applyAlignment="1" applyProtection="1">
      <alignment horizontal="right" inden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10" fontId="7" fillId="5" borderId="2" xfId="0" applyNumberFormat="1" applyFont="1" applyFill="1" applyBorder="1" applyAlignment="1" applyProtection="1">
      <alignment horizontal="center"/>
      <protection locked="0"/>
    </xf>
    <xf numFmtId="1" fontId="7" fillId="5" borderId="2" xfId="0" applyNumberFormat="1" applyFont="1" applyFill="1" applyBorder="1" applyAlignment="1" applyProtection="1">
      <alignment horizontal="right" indent="2"/>
      <protection locked="0"/>
    </xf>
    <xf numFmtId="167" fontId="4" fillId="3" borderId="7" xfId="0" applyNumberFormat="1" applyFont="1" applyFill="1" applyBorder="1" applyAlignment="1">
      <alignment horizontal="right" indent="2"/>
    </xf>
    <xf numFmtId="167" fontId="4" fillId="3" borderId="8" xfId="0" applyNumberFormat="1" applyFont="1" applyFill="1" applyBorder="1" applyAlignment="1">
      <alignment horizontal="right" indent="2"/>
    </xf>
    <xf numFmtId="167" fontId="4" fillId="3" borderId="3" xfId="0" applyNumberFormat="1" applyFont="1" applyFill="1" applyBorder="1" applyAlignment="1">
      <alignment horizontal="right" indent="2"/>
    </xf>
    <xf numFmtId="167" fontId="4" fillId="3" borderId="21" xfId="0" applyNumberFormat="1" applyFont="1" applyFill="1" applyBorder="1" applyAlignment="1">
      <alignment horizontal="right" indent="2"/>
    </xf>
    <xf numFmtId="167" fontId="4" fillId="3" borderId="9" xfId="0" applyNumberFormat="1" applyFont="1" applyFill="1" applyBorder="1" applyAlignment="1">
      <alignment horizontal="right" indent="2"/>
    </xf>
    <xf numFmtId="167" fontId="4" fillId="3" borderId="22" xfId="0" applyNumberFormat="1" applyFont="1" applyFill="1" applyBorder="1" applyAlignment="1">
      <alignment horizontal="right" indent="2"/>
    </xf>
    <xf numFmtId="167" fontId="7" fillId="3" borderId="21" xfId="0" applyNumberFormat="1" applyFont="1" applyFill="1" applyBorder="1" applyAlignment="1">
      <alignment horizontal="right" vertical="center" indent="2"/>
    </xf>
    <xf numFmtId="167" fontId="7" fillId="3" borderId="9" xfId="0" applyNumberFormat="1" applyFont="1" applyFill="1" applyBorder="1" applyAlignment="1">
      <alignment horizontal="right" vertical="center" indent="2"/>
    </xf>
    <xf numFmtId="167" fontId="7" fillId="3" borderId="22" xfId="0" applyNumberFormat="1" applyFont="1" applyFill="1" applyBorder="1" applyAlignment="1">
      <alignment horizontal="right" vertical="center" indent="2"/>
    </xf>
    <xf numFmtId="167" fontId="7" fillId="3" borderId="2" xfId="0" applyNumberFormat="1" applyFont="1" applyFill="1" applyBorder="1" applyAlignment="1">
      <alignment horizontal="right" indent="2"/>
    </xf>
    <xf numFmtId="9" fontId="4" fillId="5" borderId="5" xfId="0" applyNumberFormat="1" applyFont="1" applyFill="1" applyBorder="1" applyAlignment="1" applyProtection="1">
      <alignment horizontal="right" indent="2"/>
      <protection locked="0"/>
    </xf>
    <xf numFmtId="9" fontId="4" fillId="5" borderId="13" xfId="0" applyNumberFormat="1" applyFont="1" applyFill="1" applyBorder="1" applyAlignment="1" applyProtection="1">
      <alignment horizontal="right" indent="2"/>
      <protection locked="0"/>
    </xf>
    <xf numFmtId="9" fontId="4" fillId="5" borderId="1" xfId="0" applyNumberFormat="1" applyFont="1" applyFill="1" applyBorder="1" applyAlignment="1" applyProtection="1">
      <alignment horizontal="right" indent="2"/>
      <protection locked="0"/>
    </xf>
    <xf numFmtId="168" fontId="4" fillId="5" borderId="5" xfId="0" applyNumberFormat="1" applyFont="1" applyFill="1" applyBorder="1" applyAlignment="1" applyProtection="1">
      <alignment horizontal="right" indent="2"/>
      <protection locked="0"/>
    </xf>
    <xf numFmtId="168" fontId="4" fillId="5" borderId="13" xfId="0" applyNumberFormat="1" applyFont="1" applyFill="1" applyBorder="1" applyAlignment="1" applyProtection="1">
      <alignment horizontal="right" indent="2"/>
      <protection locked="0"/>
    </xf>
    <xf numFmtId="168" fontId="4" fillId="5" borderId="1" xfId="0" applyNumberFormat="1" applyFont="1" applyFill="1" applyBorder="1" applyAlignment="1" applyProtection="1">
      <alignment horizontal="right" indent="2"/>
      <protection locked="0"/>
    </xf>
    <xf numFmtId="0" fontId="4" fillId="2" borderId="1" xfId="0" applyFont="1" applyFill="1" applyBorder="1" applyAlignment="1">
      <alignment horizontal="center" vertical="center" shrinkToFit="1"/>
    </xf>
    <xf numFmtId="9" fontId="4" fillId="5" borderId="2" xfId="0" applyNumberFormat="1" applyFont="1" applyFill="1" applyBorder="1" applyAlignment="1" applyProtection="1">
      <alignment horizontal="right" indent="2"/>
      <protection locked="0"/>
    </xf>
    <xf numFmtId="10" fontId="4" fillId="5" borderId="5" xfId="0" applyNumberFormat="1" applyFont="1" applyFill="1" applyBorder="1" applyAlignment="1" applyProtection="1">
      <alignment horizontal="right" indent="2"/>
      <protection locked="0"/>
    </xf>
    <xf numFmtId="10" fontId="4" fillId="5" borderId="13" xfId="0" applyNumberFormat="1" applyFont="1" applyFill="1" applyBorder="1" applyAlignment="1" applyProtection="1">
      <alignment horizontal="right" indent="2"/>
      <protection locked="0"/>
    </xf>
    <xf numFmtId="10" fontId="4" fillId="5" borderId="1" xfId="0" applyNumberFormat="1" applyFont="1" applyFill="1" applyBorder="1" applyAlignment="1" applyProtection="1">
      <alignment horizontal="right" indent="2"/>
      <protection locked="0"/>
    </xf>
    <xf numFmtId="9" fontId="4" fillId="3" borderId="2" xfId="0" applyNumberFormat="1" applyFont="1" applyFill="1" applyBorder="1" applyAlignment="1">
      <alignment horizontal="right" indent="2"/>
    </xf>
    <xf numFmtId="0" fontId="4" fillId="2" borderId="2" xfId="0" applyFont="1" applyFill="1" applyBorder="1" applyAlignment="1">
      <alignment/>
    </xf>
    <xf numFmtId="1" fontId="4" fillId="5" borderId="2" xfId="0" applyNumberFormat="1" applyFont="1" applyFill="1" applyBorder="1" applyAlignment="1" applyProtection="1">
      <alignment horizontal="right" indent="2"/>
      <protection locked="0"/>
    </xf>
    <xf numFmtId="0" fontId="4" fillId="2" borderId="2" xfId="0" applyFont="1" applyFill="1" applyBorder="1" applyAlignment="1">
      <alignment horizontal="left" indent="1"/>
    </xf>
    <xf numFmtId="0" fontId="9" fillId="6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 shrinkToFit="1"/>
    </xf>
    <xf numFmtId="0" fontId="7" fillId="2" borderId="7" xfId="0" applyFont="1" applyFill="1" applyBorder="1" applyAlignment="1">
      <alignment horizontal="left" shrinkToFit="1"/>
    </xf>
    <xf numFmtId="0" fontId="7" fillId="2" borderId="3" xfId="0" applyFont="1" applyFill="1" applyBorder="1" applyAlignment="1">
      <alignment horizontal="left" shrinkToFit="1"/>
    </xf>
    <xf numFmtId="0" fontId="7" fillId="2" borderId="21" xfId="0" applyFont="1" applyFill="1" applyBorder="1" applyAlignment="1">
      <alignment horizontal="left" shrinkToFit="1"/>
    </xf>
    <xf numFmtId="0" fontId="7" fillId="2" borderId="22" xfId="0" applyFont="1" applyFill="1" applyBorder="1" applyAlignment="1">
      <alignment horizontal="left" shrinkToFit="1"/>
    </xf>
    <xf numFmtId="0" fontId="7" fillId="2" borderId="23" xfId="0" applyFont="1" applyFill="1" applyBorder="1" applyAlignment="1">
      <alignment horizontal="center" shrinkToFit="1"/>
    </xf>
    <xf numFmtId="0" fontId="7" fillId="2" borderId="19" xfId="0" applyFont="1" applyFill="1" applyBorder="1" applyAlignment="1">
      <alignment horizontal="center" shrinkToFit="1"/>
    </xf>
    <xf numFmtId="167" fontId="7" fillId="3" borderId="7" xfId="0" applyNumberFormat="1" applyFont="1" applyFill="1" applyBorder="1" applyAlignment="1">
      <alignment horizontal="right" indent="2"/>
    </xf>
    <xf numFmtId="167" fontId="7" fillId="3" borderId="8" xfId="0" applyNumberFormat="1" applyFont="1" applyFill="1" applyBorder="1" applyAlignment="1">
      <alignment horizontal="right" indent="2"/>
    </xf>
    <xf numFmtId="167" fontId="7" fillId="3" borderId="3" xfId="0" applyNumberFormat="1" applyFont="1" applyFill="1" applyBorder="1" applyAlignment="1">
      <alignment horizontal="right" indent="2"/>
    </xf>
    <xf numFmtId="167" fontId="7" fillId="3" borderId="21" xfId="0" applyNumberFormat="1" applyFont="1" applyFill="1" applyBorder="1" applyAlignment="1">
      <alignment horizontal="right" indent="2"/>
    </xf>
    <xf numFmtId="167" fontId="7" fillId="3" borderId="9" xfId="0" applyNumberFormat="1" applyFont="1" applyFill="1" applyBorder="1" applyAlignment="1">
      <alignment horizontal="right" indent="2"/>
    </xf>
    <xf numFmtId="167" fontId="7" fillId="3" borderId="22" xfId="0" applyNumberFormat="1" applyFont="1" applyFill="1" applyBorder="1" applyAlignment="1">
      <alignment horizontal="right" indent="2"/>
    </xf>
    <xf numFmtId="0" fontId="7" fillId="2" borderId="5" xfId="0" applyFont="1" applyFill="1" applyBorder="1" applyAlignment="1">
      <alignment horizontal="left" wrapText="1" indent="1" shrinkToFit="1"/>
    </xf>
    <xf numFmtId="0" fontId="7" fillId="2" borderId="1" xfId="0" applyFont="1" applyFill="1" applyBorder="1" applyAlignment="1">
      <alignment horizontal="left" wrapText="1" indent="1" shrinkToFit="1"/>
    </xf>
    <xf numFmtId="167" fontId="4" fillId="3" borderId="5" xfId="16" applyNumberFormat="1" applyFont="1" applyFill="1" applyBorder="1" applyAlignment="1">
      <alignment horizontal="right" indent="1"/>
    </xf>
    <xf numFmtId="167" fontId="4" fillId="3" borderId="1" xfId="16" applyNumberFormat="1" applyFont="1" applyFill="1" applyBorder="1" applyAlignment="1">
      <alignment horizontal="right" indent="1"/>
    </xf>
    <xf numFmtId="9" fontId="4" fillId="2" borderId="5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167" fontId="4" fillId="5" borderId="5" xfId="0" applyNumberFormat="1" applyFont="1" applyFill="1" applyBorder="1" applyAlignment="1" applyProtection="1">
      <alignment horizontal="right" indent="2"/>
      <protection locked="0"/>
    </xf>
    <xf numFmtId="167" fontId="4" fillId="5" borderId="13" xfId="0" applyNumberFormat="1" applyFont="1" applyFill="1" applyBorder="1" applyAlignment="1" applyProtection="1">
      <alignment horizontal="right" indent="2"/>
      <protection locked="0"/>
    </xf>
    <xf numFmtId="167" fontId="4" fillId="5" borderId="1" xfId="0" applyNumberFormat="1" applyFont="1" applyFill="1" applyBorder="1" applyAlignment="1" applyProtection="1">
      <alignment horizontal="right" indent="2"/>
      <protection locked="0"/>
    </xf>
    <xf numFmtId="10" fontId="7" fillId="5" borderId="19" xfId="0" applyNumberFormat="1" applyFont="1" applyFill="1" applyBorder="1" applyAlignment="1" applyProtection="1">
      <alignment horizontal="right" indent="2"/>
      <protection locked="0"/>
    </xf>
    <xf numFmtId="10" fontId="7" fillId="5" borderId="2" xfId="0" applyNumberFormat="1" applyFont="1" applyFill="1" applyBorder="1" applyAlignment="1" applyProtection="1">
      <alignment horizontal="right" indent="2"/>
      <protection locked="0"/>
    </xf>
    <xf numFmtId="0" fontId="4" fillId="2" borderId="7" xfId="0" applyFont="1" applyFill="1" applyBorder="1" applyAlignment="1">
      <alignment horizontal="left" indent="1"/>
    </xf>
    <xf numFmtId="0" fontId="4" fillId="2" borderId="3" xfId="0" applyFont="1" applyFill="1" applyBorder="1" applyAlignment="1">
      <alignment horizontal="left" indent="1"/>
    </xf>
    <xf numFmtId="0" fontId="4" fillId="2" borderId="21" xfId="0" applyFont="1" applyFill="1" applyBorder="1" applyAlignment="1">
      <alignment horizontal="left" indent="1"/>
    </xf>
    <xf numFmtId="0" fontId="4" fillId="2" borderId="22" xfId="0" applyFont="1" applyFill="1" applyBorder="1" applyAlignment="1">
      <alignment horizontal="left" indent="1"/>
    </xf>
    <xf numFmtId="44" fontId="0" fillId="3" borderId="5" xfId="16" applyFont="1" applyFill="1" applyBorder="1" applyAlignment="1">
      <alignment horizontal="right" indent="1"/>
    </xf>
    <xf numFmtId="44" fontId="0" fillId="3" borderId="1" xfId="16" applyFont="1" applyFill="1" applyBorder="1" applyAlignment="1">
      <alignment horizontal="right" indent="1"/>
    </xf>
    <xf numFmtId="3" fontId="4" fillId="8" borderId="5" xfId="0" applyNumberFormat="1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horizontal="center"/>
    </xf>
    <xf numFmtId="10" fontId="4" fillId="8" borderId="5" xfId="0" applyNumberFormat="1" applyFont="1" applyFill="1" applyBorder="1" applyAlignment="1">
      <alignment horizontal="center"/>
    </xf>
    <xf numFmtId="10" fontId="4" fillId="8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right" indent="1"/>
    </xf>
    <xf numFmtId="167" fontId="10" fillId="11" borderId="5" xfId="0" applyNumberFormat="1" applyFont="1" applyFill="1" applyBorder="1" applyAlignment="1">
      <alignment horizontal="right" indent="1"/>
    </xf>
    <xf numFmtId="167" fontId="10" fillId="11" borderId="1" xfId="0" applyNumberFormat="1" applyFont="1" applyFill="1" applyBorder="1" applyAlignment="1">
      <alignment horizontal="right" indent="1"/>
    </xf>
    <xf numFmtId="0" fontId="4" fillId="2" borderId="5" xfId="0" applyFont="1" applyFill="1" applyBorder="1" applyAlignment="1">
      <alignment horizontal="left" indent="1"/>
    </xf>
    <xf numFmtId="0" fontId="4" fillId="2" borderId="13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4" fillId="2" borderId="5" xfId="0" applyFont="1" applyFill="1" applyBorder="1" applyAlignment="1">
      <alignment horizontal="left" indent="2"/>
    </xf>
    <xf numFmtId="0" fontId="4" fillId="2" borderId="13" xfId="0" applyFont="1" applyFill="1" applyBorder="1" applyAlignment="1">
      <alignment horizontal="left" indent="2"/>
    </xf>
    <xf numFmtId="0" fontId="4" fillId="2" borderId="1" xfId="0" applyFont="1" applyFill="1" applyBorder="1" applyAlignment="1">
      <alignment horizontal="left" indent="2"/>
    </xf>
    <xf numFmtId="167" fontId="4" fillId="11" borderId="5" xfId="0" applyNumberFormat="1" applyFont="1" applyFill="1" applyBorder="1" applyAlignment="1">
      <alignment horizontal="center"/>
    </xf>
    <xf numFmtId="167" fontId="4" fillId="11" borderId="13" xfId="0" applyNumberFormat="1" applyFont="1" applyFill="1" applyBorder="1" applyAlignment="1">
      <alignment horizontal="center"/>
    </xf>
    <xf numFmtId="167" fontId="4" fillId="11" borderId="1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7" fontId="10" fillId="3" borderId="2" xfId="0" applyNumberFormat="1" applyFont="1" applyFill="1" applyBorder="1" applyAlignment="1">
      <alignment horizontal="right" indent="1"/>
    </xf>
    <xf numFmtId="0" fontId="4" fillId="2" borderId="13" xfId="0" applyFont="1" applyFill="1" applyBorder="1" applyAlignment="1">
      <alignment horizontal="left" indent="1" shrinkToFit="1"/>
    </xf>
    <xf numFmtId="0" fontId="10" fillId="2" borderId="5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167" fontId="10" fillId="3" borderId="5" xfId="0" applyNumberFormat="1" applyFont="1" applyFill="1" applyBorder="1" applyAlignment="1">
      <alignment horizontal="right" indent="1"/>
    </xf>
    <xf numFmtId="167" fontId="10" fillId="3" borderId="1" xfId="0" applyNumberFormat="1" applyFont="1" applyFill="1" applyBorder="1" applyAlignment="1">
      <alignment horizontal="right" indent="1"/>
    </xf>
    <xf numFmtId="167" fontId="4" fillId="11" borderId="5" xfId="0" applyNumberFormat="1" applyFont="1" applyFill="1" applyBorder="1" applyAlignment="1">
      <alignment horizontal="right" indent="1"/>
    </xf>
    <xf numFmtId="167" fontId="4" fillId="11" borderId="1" xfId="0" applyNumberFormat="1" applyFont="1" applyFill="1" applyBorder="1" applyAlignment="1">
      <alignment horizontal="right" indent="1"/>
    </xf>
    <xf numFmtId="0" fontId="5" fillId="6" borderId="2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shrinkToFit="1"/>
    </xf>
    <xf numFmtId="0" fontId="10" fillId="2" borderId="13" xfId="0" applyFont="1" applyFill="1" applyBorder="1" applyAlignment="1">
      <alignment horizontal="left" shrinkToFit="1"/>
    </xf>
    <xf numFmtId="0" fontId="10" fillId="2" borderId="1" xfId="0" applyFont="1" applyFill="1" applyBorder="1" applyAlignment="1">
      <alignment horizontal="left" shrinkToFi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10" fontId="4" fillId="2" borderId="7" xfId="0" applyNumberFormat="1" applyFont="1" applyFill="1" applyBorder="1" applyAlignment="1">
      <alignment horizontal="center" shrinkToFit="1"/>
    </xf>
    <xf numFmtId="0" fontId="0" fillId="0" borderId="0" xfId="0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shrinkToFit="1"/>
    </xf>
    <xf numFmtId="0" fontId="4" fillId="5" borderId="2" xfId="0" applyFont="1" applyFill="1" applyBorder="1" applyAlignment="1">
      <alignment horizontal="center" shrinkToFit="1"/>
    </xf>
    <xf numFmtId="2" fontId="7" fillId="5" borderId="2" xfId="0" applyNumberFormat="1" applyFont="1" applyFill="1" applyBorder="1" applyAlignment="1">
      <alignment horizontal="right" indent="1"/>
    </xf>
    <xf numFmtId="0" fontId="7" fillId="5" borderId="2" xfId="0" applyFont="1" applyFill="1" applyBorder="1" applyAlignment="1">
      <alignment horizontal="right" indent="1"/>
    </xf>
    <xf numFmtId="0" fontId="4" fillId="5" borderId="2" xfId="0" applyFont="1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2</xdr:row>
      <xdr:rowOff>819150</xdr:rowOff>
    </xdr:from>
    <xdr:to>
      <xdr:col>10</xdr:col>
      <xdr:colOff>447675</xdr:colOff>
      <xdr:row>2</xdr:row>
      <xdr:rowOff>819150</xdr:rowOff>
    </xdr:to>
    <xdr:pic>
      <xdr:nvPicPr>
        <xdr:cNvPr id="2" name="Picture 1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638800" y="1171575"/>
          <a:ext cx="86677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809625</xdr:rowOff>
    </xdr:from>
    <xdr:to>
      <xdr:col>2</xdr:col>
      <xdr:colOff>295275</xdr:colOff>
      <xdr:row>2</xdr:row>
      <xdr:rowOff>809625</xdr:rowOff>
    </xdr:to>
    <xdr:pic>
      <xdr:nvPicPr>
        <xdr:cNvPr id="3" name="Picture 2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7650" y="1162050"/>
          <a:ext cx="8572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28575</xdr:rowOff>
    </xdr:from>
    <xdr:to>
      <xdr:col>2</xdr:col>
      <xdr:colOff>285750</xdr:colOff>
      <xdr:row>2</xdr:row>
      <xdr:rowOff>914400</xdr:rowOff>
    </xdr:to>
    <xdr:pic>
      <xdr:nvPicPr>
        <xdr:cNvPr id="4" name="Picture 3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8125" y="381000"/>
          <a:ext cx="85725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304800</xdr:colOff>
      <xdr:row>2</xdr:row>
      <xdr:rowOff>19050</xdr:rowOff>
    </xdr:from>
    <xdr:to>
      <xdr:col>10</xdr:col>
      <xdr:colOff>466725</xdr:colOff>
      <xdr:row>2</xdr:row>
      <xdr:rowOff>885825</xdr:rowOff>
    </xdr:to>
    <xdr:pic>
      <xdr:nvPicPr>
        <xdr:cNvPr id="5" name="Picture 4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657850" y="371475"/>
          <a:ext cx="866775" cy="8667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2</xdr:row>
      <xdr:rowOff>190500</xdr:rowOff>
    </xdr:from>
    <xdr:to>
      <xdr:col>10</xdr:col>
      <xdr:colOff>447675</xdr:colOff>
      <xdr:row>2</xdr:row>
      <xdr:rowOff>190500</xdr:rowOff>
    </xdr:to>
    <xdr:pic>
      <xdr:nvPicPr>
        <xdr:cNvPr id="2" name="Picture 1" descr="Extensionlogo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895975" y="533400"/>
          <a:ext cx="771525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190500</xdr:rowOff>
    </xdr:from>
    <xdr:to>
      <xdr:col>2</xdr:col>
      <xdr:colOff>295275</xdr:colOff>
      <xdr:row>2</xdr:row>
      <xdr:rowOff>190500</xdr:rowOff>
    </xdr:to>
    <xdr:pic>
      <xdr:nvPicPr>
        <xdr:cNvPr id="3" name="Picture 2" descr="Research+logo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1925" y="533400"/>
          <a:ext cx="85725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U56"/>
  <sheetViews>
    <sheetView tabSelected="1" workbookViewId="0" topLeftCell="A1"/>
  </sheetViews>
  <sheetFormatPr defaultColWidth="9.140625" defaultRowHeight="15"/>
  <cols>
    <col min="1" max="1" width="3.00390625" style="0" customWidth="1"/>
    <col min="3" max="3" width="10.421875" style="0" customWidth="1"/>
    <col min="4" max="4" width="12.00390625" style="0" customWidth="1"/>
    <col min="10" max="10" width="10.57421875" style="0" bestFit="1" customWidth="1"/>
    <col min="13" max="13" width="9.140625" style="0" customWidth="1"/>
  </cols>
  <sheetData>
    <row r="1" ht="10.5" customHeight="1"/>
    <row r="2" spans="2:11" ht="17.25" customHeight="1">
      <c r="B2" s="150" t="s">
        <v>27</v>
      </c>
      <c r="C2" s="151"/>
      <c r="D2" s="151"/>
      <c r="E2" s="151"/>
      <c r="F2" s="151"/>
      <c r="G2" s="151"/>
      <c r="H2" s="151"/>
      <c r="I2" s="151"/>
      <c r="J2" s="151"/>
      <c r="K2" s="152"/>
    </row>
    <row r="3" spans="2:11" ht="134.25" customHeight="1">
      <c r="B3" s="153"/>
      <c r="C3" s="154"/>
      <c r="D3" s="154"/>
      <c r="E3" s="154"/>
      <c r="F3" s="154"/>
      <c r="G3" s="154"/>
      <c r="H3" s="154"/>
      <c r="I3" s="154"/>
      <c r="J3" s="154"/>
      <c r="K3" s="155"/>
    </row>
    <row r="4" spans="8:21" ht="15" customHeight="1">
      <c r="H4" s="156"/>
      <c r="I4" s="156"/>
      <c r="J4" s="1"/>
      <c r="M4" s="191" t="s">
        <v>315</v>
      </c>
      <c r="N4" s="191"/>
      <c r="O4" s="191"/>
      <c r="P4" s="191"/>
      <c r="Q4" s="191"/>
      <c r="R4" s="191"/>
      <c r="S4" s="72"/>
      <c r="T4" s="72"/>
      <c r="U4" s="72"/>
    </row>
    <row r="5" spans="2:21" ht="15">
      <c r="B5" s="157" t="s">
        <v>316</v>
      </c>
      <c r="C5" s="158"/>
      <c r="D5" s="158"/>
      <c r="E5" s="158"/>
      <c r="F5" s="158"/>
      <c r="G5" s="159"/>
      <c r="H5" s="163">
        <v>42856</v>
      </c>
      <c r="I5" s="164"/>
      <c r="J5" s="164"/>
      <c r="K5" s="165"/>
      <c r="M5" s="191"/>
      <c r="N5" s="191"/>
      <c r="O5" s="191"/>
      <c r="P5" s="191"/>
      <c r="Q5" s="191"/>
      <c r="R5" s="191"/>
      <c r="S5" s="72"/>
      <c r="T5" s="72"/>
      <c r="U5" s="72"/>
    </row>
    <row r="6" spans="2:11" ht="15">
      <c r="B6" s="160"/>
      <c r="C6" s="161"/>
      <c r="D6" s="161"/>
      <c r="E6" s="161"/>
      <c r="F6" s="161"/>
      <c r="G6" s="162"/>
      <c r="H6" s="166"/>
      <c r="I6" s="167"/>
      <c r="J6" s="167"/>
      <c r="K6" s="168"/>
    </row>
    <row r="7" ht="10.5" customHeight="1"/>
    <row r="8" spans="2:14" ht="28.5" customHeight="1">
      <c r="B8" s="171" t="s">
        <v>312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3"/>
    </row>
    <row r="9" spans="2:14" ht="20.25" customHeight="1">
      <c r="B9" s="175"/>
      <c r="C9" s="176"/>
      <c r="D9" s="3" t="s">
        <v>7</v>
      </c>
      <c r="E9" s="169" t="s">
        <v>0</v>
      </c>
      <c r="F9" s="169"/>
      <c r="G9" s="169" t="s">
        <v>186</v>
      </c>
      <c r="H9" s="169"/>
      <c r="I9" s="169" t="s">
        <v>2</v>
      </c>
      <c r="J9" s="169"/>
      <c r="K9" s="169" t="s">
        <v>23</v>
      </c>
      <c r="L9" s="169"/>
      <c r="M9" s="169" t="s">
        <v>81</v>
      </c>
      <c r="N9" s="169"/>
    </row>
    <row r="10" spans="2:14" ht="18.75" customHeight="1">
      <c r="B10" s="100" t="s">
        <v>230</v>
      </c>
      <c r="C10" s="100"/>
      <c r="D10" s="42" t="s">
        <v>17</v>
      </c>
      <c r="E10" s="113">
        <v>80</v>
      </c>
      <c r="F10" s="113"/>
      <c r="G10" s="113">
        <v>20</v>
      </c>
      <c r="H10" s="113"/>
      <c r="I10" s="113">
        <v>25</v>
      </c>
      <c r="J10" s="113"/>
      <c r="K10" s="113">
        <v>0</v>
      </c>
      <c r="L10" s="113"/>
      <c r="M10" s="126" t="s">
        <v>111</v>
      </c>
      <c r="N10" s="127"/>
    </row>
    <row r="11" spans="2:14" ht="18">
      <c r="B11" s="100" t="s">
        <v>310</v>
      </c>
      <c r="C11" s="100"/>
      <c r="D11" s="42" t="s">
        <v>15</v>
      </c>
      <c r="E11" s="174">
        <v>1125</v>
      </c>
      <c r="F11" s="174"/>
      <c r="G11" s="174">
        <v>1000</v>
      </c>
      <c r="H11" s="174"/>
      <c r="I11" s="174">
        <v>850</v>
      </c>
      <c r="J11" s="174"/>
      <c r="K11" s="174">
        <v>0</v>
      </c>
      <c r="L11" s="174"/>
      <c r="M11" s="126" t="s">
        <v>111</v>
      </c>
      <c r="N11" s="127"/>
    </row>
    <row r="12" spans="2:14" ht="18">
      <c r="B12" s="100" t="s">
        <v>132</v>
      </c>
      <c r="C12" s="100"/>
      <c r="D12" s="5" t="s">
        <v>17</v>
      </c>
      <c r="E12" s="113">
        <v>0</v>
      </c>
      <c r="F12" s="113"/>
      <c r="G12" s="113">
        <v>0</v>
      </c>
      <c r="H12" s="113"/>
      <c r="I12" s="113">
        <v>0</v>
      </c>
      <c r="J12" s="113"/>
      <c r="K12" s="113">
        <v>3</v>
      </c>
      <c r="L12" s="113"/>
      <c r="M12" s="126" t="s">
        <v>111</v>
      </c>
      <c r="N12" s="127"/>
    </row>
    <row r="13" spans="2:14" ht="18">
      <c r="B13" s="123" t="s">
        <v>127</v>
      </c>
      <c r="C13" s="125"/>
      <c r="D13" s="4" t="s">
        <v>8</v>
      </c>
      <c r="E13" s="170">
        <v>0</v>
      </c>
      <c r="F13" s="170"/>
      <c r="G13" s="170">
        <v>0</v>
      </c>
      <c r="H13" s="170"/>
      <c r="I13" s="170">
        <v>0</v>
      </c>
      <c r="J13" s="170"/>
      <c r="K13" s="170">
        <v>0.5</v>
      </c>
      <c r="L13" s="170"/>
      <c r="M13" s="126" t="s">
        <v>111</v>
      </c>
      <c r="N13" s="127"/>
    </row>
    <row r="14" spans="2:14" ht="18">
      <c r="B14" s="123" t="s">
        <v>13</v>
      </c>
      <c r="C14" s="125"/>
      <c r="D14" s="4" t="s">
        <v>8</v>
      </c>
      <c r="E14" s="170">
        <v>0.01</v>
      </c>
      <c r="F14" s="170"/>
      <c r="G14" s="170">
        <v>0.01</v>
      </c>
      <c r="H14" s="170"/>
      <c r="I14" s="170">
        <v>0.01</v>
      </c>
      <c r="J14" s="170"/>
      <c r="K14" s="170">
        <v>0.01</v>
      </c>
      <c r="L14" s="170"/>
      <c r="M14" s="126" t="s">
        <v>111</v>
      </c>
      <c r="N14" s="127"/>
    </row>
    <row r="15" spans="2:14" ht="18">
      <c r="B15" s="123" t="s">
        <v>126</v>
      </c>
      <c r="C15" s="125"/>
      <c r="D15" s="4" t="s">
        <v>15</v>
      </c>
      <c r="E15" s="109">
        <v>0</v>
      </c>
      <c r="F15" s="109"/>
      <c r="G15" s="109">
        <v>0</v>
      </c>
      <c r="H15" s="109"/>
      <c r="I15" s="109">
        <v>0</v>
      </c>
      <c r="J15" s="109"/>
      <c r="K15" s="109">
        <v>875</v>
      </c>
      <c r="L15" s="109"/>
      <c r="M15" s="126" t="s">
        <v>111</v>
      </c>
      <c r="N15" s="127"/>
    </row>
    <row r="16" spans="2:14" ht="18">
      <c r="B16" s="183" t="s">
        <v>18</v>
      </c>
      <c r="C16" s="184"/>
      <c r="D16" s="6" t="s">
        <v>8</v>
      </c>
      <c r="E16" s="177">
        <v>0.86</v>
      </c>
      <c r="F16" s="177"/>
      <c r="G16" s="179">
        <v>0.82</v>
      </c>
      <c r="H16" s="179"/>
      <c r="I16" s="107" t="s">
        <v>111</v>
      </c>
      <c r="J16" s="108"/>
      <c r="K16" s="107" t="s">
        <v>111</v>
      </c>
      <c r="L16" s="108"/>
      <c r="M16" s="128" t="str">
        <f>IF(E10+G10+E12+G12&gt;0,ROUND(((E10+E12)*E16+(G10+G12)*G16)/(E12+G12+E10+G10)*100,0)&amp;"% avg")</f>
        <v>85% avg</v>
      </c>
      <c r="N16" s="128"/>
    </row>
    <row r="17" spans="2:14" ht="18.75" customHeight="1">
      <c r="B17" s="183" t="s">
        <v>19</v>
      </c>
      <c r="C17" s="184"/>
      <c r="D17" s="6" t="s">
        <v>17</v>
      </c>
      <c r="E17" s="192">
        <f>(E10+E12)*E16</f>
        <v>68.8</v>
      </c>
      <c r="F17" s="192"/>
      <c r="G17" s="192">
        <f>(G10+G12)*G16</f>
        <v>16.4</v>
      </c>
      <c r="H17" s="192"/>
      <c r="I17" s="107" t="s">
        <v>111</v>
      </c>
      <c r="J17" s="108"/>
      <c r="K17" s="107" t="s">
        <v>111</v>
      </c>
      <c r="L17" s="108"/>
      <c r="M17" s="129">
        <f>SUM(E17:H17)</f>
        <v>85.19999999999999</v>
      </c>
      <c r="N17" s="128"/>
    </row>
    <row r="18" spans="2:14" ht="18.75" customHeight="1">
      <c r="B18" s="100" t="s">
        <v>28</v>
      </c>
      <c r="C18" s="100"/>
      <c r="D18" s="5" t="s">
        <v>17</v>
      </c>
      <c r="E18" s="178">
        <v>34</v>
      </c>
      <c r="F18" s="178"/>
      <c r="G18" s="178">
        <v>8</v>
      </c>
      <c r="H18" s="178"/>
      <c r="I18" s="107" t="s">
        <v>111</v>
      </c>
      <c r="J18" s="108"/>
      <c r="K18" s="107" t="s">
        <v>111</v>
      </c>
      <c r="L18" s="108"/>
      <c r="M18" s="129">
        <f>SUM(E18:H18)</f>
        <v>42</v>
      </c>
      <c r="N18" s="128"/>
    </row>
    <row r="19" spans="2:14" ht="18.75" customHeight="1">
      <c r="B19" s="100" t="s">
        <v>29</v>
      </c>
      <c r="C19" s="100"/>
      <c r="D19" s="5" t="s">
        <v>17</v>
      </c>
      <c r="E19" s="180">
        <f>E17-E18</f>
        <v>34.8</v>
      </c>
      <c r="F19" s="180"/>
      <c r="G19" s="180">
        <f>G17-G18</f>
        <v>8.399999999999999</v>
      </c>
      <c r="H19" s="180"/>
      <c r="I19" s="107" t="s">
        <v>111</v>
      </c>
      <c r="J19" s="108"/>
      <c r="K19" s="107" t="s">
        <v>111</v>
      </c>
      <c r="L19" s="108"/>
      <c r="M19" s="129">
        <f>SUM(E19:H19)</f>
        <v>43.199999999999996</v>
      </c>
      <c r="N19" s="128"/>
    </row>
    <row r="20" spans="2:14" ht="18.75" customHeight="1">
      <c r="B20" s="100" t="s">
        <v>30</v>
      </c>
      <c r="C20" s="100"/>
      <c r="D20" s="5" t="s">
        <v>17</v>
      </c>
      <c r="E20" s="178">
        <v>19</v>
      </c>
      <c r="F20" s="178"/>
      <c r="G20" s="178">
        <v>6</v>
      </c>
      <c r="H20" s="178"/>
      <c r="I20" s="107" t="s">
        <v>111</v>
      </c>
      <c r="J20" s="108"/>
      <c r="K20" s="107" t="s">
        <v>111</v>
      </c>
      <c r="L20" s="108"/>
      <c r="M20" s="129">
        <f>SUM(E20:H20)</f>
        <v>25</v>
      </c>
      <c r="N20" s="128"/>
    </row>
    <row r="21" spans="2:14" ht="18.75" customHeight="1">
      <c r="B21" s="181" t="s">
        <v>128</v>
      </c>
      <c r="C21" s="182"/>
      <c r="D21" s="16" t="s">
        <v>16</v>
      </c>
      <c r="E21" s="109">
        <f>E15*E12</f>
        <v>0</v>
      </c>
      <c r="F21" s="109"/>
      <c r="G21" s="109">
        <f>G15*G12</f>
        <v>0</v>
      </c>
      <c r="H21" s="109"/>
      <c r="I21" s="109">
        <f>I15*I12</f>
        <v>0</v>
      </c>
      <c r="J21" s="109"/>
      <c r="K21" s="109">
        <f>K15*K12</f>
        <v>2625</v>
      </c>
      <c r="L21" s="109"/>
      <c r="M21" s="126" t="s">
        <v>111</v>
      </c>
      <c r="N21" s="127"/>
    </row>
    <row r="22" spans="2:14" ht="18.75" customHeight="1">
      <c r="B22" s="190" t="s">
        <v>34</v>
      </c>
      <c r="C22" s="190"/>
      <c r="D22" s="17" t="s">
        <v>8</v>
      </c>
      <c r="E22" s="112">
        <v>0.06</v>
      </c>
      <c r="F22" s="112"/>
      <c r="G22" s="112">
        <v>0.06</v>
      </c>
      <c r="H22" s="112"/>
      <c r="I22" s="112">
        <v>0.06</v>
      </c>
      <c r="J22" s="112"/>
      <c r="K22" s="112">
        <v>0.06</v>
      </c>
      <c r="L22" s="112"/>
      <c r="M22" s="126" t="s">
        <v>111</v>
      </c>
      <c r="N22" s="127"/>
    </row>
    <row r="23" spans="2:14" ht="18.75" customHeight="1">
      <c r="B23" s="190" t="s">
        <v>35</v>
      </c>
      <c r="C23" s="190"/>
      <c r="D23" s="17" t="s">
        <v>36</v>
      </c>
      <c r="E23" s="113">
        <v>4</v>
      </c>
      <c r="F23" s="113"/>
      <c r="G23" s="113">
        <v>5</v>
      </c>
      <c r="H23" s="113"/>
      <c r="I23" s="113">
        <v>5</v>
      </c>
      <c r="J23" s="113"/>
      <c r="K23" s="113">
        <v>3</v>
      </c>
      <c r="L23" s="113"/>
      <c r="M23" s="126" t="s">
        <v>111</v>
      </c>
      <c r="N23" s="127"/>
    </row>
    <row r="24" spans="2:14" ht="18.75" customHeight="1">
      <c r="B24" s="181" t="s">
        <v>39</v>
      </c>
      <c r="C24" s="188"/>
      <c r="D24" s="189"/>
      <c r="E24" s="113">
        <v>3</v>
      </c>
      <c r="F24" s="113"/>
      <c r="G24" s="113">
        <v>5</v>
      </c>
      <c r="H24" s="113"/>
      <c r="I24" s="113">
        <v>4</v>
      </c>
      <c r="J24" s="113"/>
      <c r="K24" s="113">
        <v>2</v>
      </c>
      <c r="L24" s="113"/>
      <c r="M24" s="126" t="s">
        <v>111</v>
      </c>
      <c r="N24" s="127"/>
    </row>
    <row r="25" spans="2:14" ht="18.75" customHeight="1">
      <c r="B25" s="181" t="s">
        <v>37</v>
      </c>
      <c r="C25" s="188"/>
      <c r="D25" s="189"/>
      <c r="E25" s="114" t="s">
        <v>38</v>
      </c>
      <c r="F25" s="114"/>
      <c r="G25" s="114" t="s">
        <v>38</v>
      </c>
      <c r="H25" s="114"/>
      <c r="I25" s="114" t="s">
        <v>38</v>
      </c>
      <c r="J25" s="114"/>
      <c r="K25" s="114" t="s">
        <v>38</v>
      </c>
      <c r="L25" s="114"/>
      <c r="M25" s="126" t="s">
        <v>111</v>
      </c>
      <c r="N25" s="127"/>
    </row>
    <row r="26" spans="2:14" ht="18.75" customHeight="1">
      <c r="B26" s="181" t="s">
        <v>41</v>
      </c>
      <c r="C26" s="188"/>
      <c r="D26" s="189"/>
      <c r="E26" s="109">
        <v>0</v>
      </c>
      <c r="F26" s="109"/>
      <c r="G26" s="109">
        <v>0</v>
      </c>
      <c r="H26" s="109"/>
      <c r="I26" s="109">
        <v>0</v>
      </c>
      <c r="J26" s="109"/>
      <c r="K26" s="109">
        <v>982.0382585751966</v>
      </c>
      <c r="L26" s="109"/>
      <c r="M26" s="132">
        <f>SUM(E26:K26)</f>
        <v>982.0382585751966</v>
      </c>
      <c r="N26" s="128"/>
    </row>
    <row r="27" spans="2:14" ht="18.75" customHeight="1">
      <c r="B27" s="181" t="s">
        <v>168</v>
      </c>
      <c r="C27" s="188"/>
      <c r="D27" s="189"/>
      <c r="E27" s="109">
        <v>0</v>
      </c>
      <c r="F27" s="109"/>
      <c r="G27" s="109">
        <v>0</v>
      </c>
      <c r="H27" s="109"/>
      <c r="I27" s="109">
        <v>0</v>
      </c>
      <c r="J27" s="109"/>
      <c r="K27" s="109">
        <v>874.0105540897084</v>
      </c>
      <c r="L27" s="109"/>
      <c r="M27" s="132">
        <f>SUM(E27:K27)</f>
        <v>874.0105540897084</v>
      </c>
      <c r="N27" s="128"/>
    </row>
    <row r="28" spans="2:14" ht="18.75" customHeight="1">
      <c r="B28" s="181" t="s">
        <v>169</v>
      </c>
      <c r="C28" s="188"/>
      <c r="D28" s="189"/>
      <c r="E28" s="109">
        <v>0</v>
      </c>
      <c r="F28" s="109"/>
      <c r="G28" s="109">
        <v>0</v>
      </c>
      <c r="H28" s="109"/>
      <c r="I28" s="109">
        <v>0</v>
      </c>
      <c r="J28" s="109"/>
      <c r="K28" s="109">
        <v>108.02770448548814</v>
      </c>
      <c r="L28" s="109"/>
      <c r="M28" s="132">
        <f>SUM(E28:K28)</f>
        <v>108.02770448548814</v>
      </c>
      <c r="N28" s="128"/>
    </row>
    <row r="29" ht="18.75" customHeight="1"/>
    <row r="30" spans="2:20" ht="15" customHeight="1">
      <c r="B30" s="86" t="s">
        <v>145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 ht="15" customHeight="1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 ht="21">
      <c r="B32" s="185"/>
      <c r="C32" s="186"/>
      <c r="D32" s="187"/>
      <c r="E32" s="130" t="s">
        <v>206</v>
      </c>
      <c r="F32" s="131"/>
      <c r="G32" s="130" t="s">
        <v>21</v>
      </c>
      <c r="H32" s="131"/>
      <c r="I32" s="130" t="s">
        <v>207</v>
      </c>
      <c r="J32" s="131"/>
      <c r="K32" s="87" t="s">
        <v>90</v>
      </c>
      <c r="L32" s="87"/>
      <c r="M32" s="87" t="s">
        <v>34</v>
      </c>
      <c r="N32" s="87"/>
      <c r="O32" s="87" t="s">
        <v>267</v>
      </c>
      <c r="P32" s="87"/>
      <c r="Q32" s="87" t="s">
        <v>266</v>
      </c>
      <c r="R32" s="87"/>
      <c r="S32" s="87" t="s">
        <v>268</v>
      </c>
      <c r="T32" s="87"/>
    </row>
    <row r="33" spans="2:20" ht="21">
      <c r="B33" s="123" t="s">
        <v>0</v>
      </c>
      <c r="C33" s="124"/>
      <c r="D33" s="125"/>
      <c r="E33" s="121">
        <v>0</v>
      </c>
      <c r="F33" s="122"/>
      <c r="G33" s="117">
        <v>1125</v>
      </c>
      <c r="H33" s="118"/>
      <c r="I33" s="115">
        <f>E33*G33</f>
        <v>0</v>
      </c>
      <c r="J33" s="116"/>
      <c r="K33" s="88">
        <v>0</v>
      </c>
      <c r="L33" s="89"/>
      <c r="M33" s="92"/>
      <c r="N33" s="92"/>
      <c r="O33" s="93">
        <v>1</v>
      </c>
      <c r="P33" s="93"/>
      <c r="Q33" s="81">
        <f>I33*(1-K33)</f>
        <v>0</v>
      </c>
      <c r="R33" s="81"/>
      <c r="S33" s="81">
        <f>I33*K33*M33*(13-O33)/12</f>
        <v>0</v>
      </c>
      <c r="T33" s="81"/>
    </row>
    <row r="34" spans="2:20" ht="21">
      <c r="B34" s="95" t="s">
        <v>140</v>
      </c>
      <c r="C34" s="96"/>
      <c r="D34" s="97"/>
      <c r="E34" s="121">
        <v>0</v>
      </c>
      <c r="F34" s="122"/>
      <c r="G34" s="117">
        <v>1000</v>
      </c>
      <c r="H34" s="118"/>
      <c r="I34" s="115">
        <f>E34*G34</f>
        <v>0</v>
      </c>
      <c r="J34" s="116"/>
      <c r="K34" s="90">
        <v>0</v>
      </c>
      <c r="L34" s="90"/>
      <c r="M34" s="92"/>
      <c r="N34" s="92"/>
      <c r="O34" s="93">
        <v>2</v>
      </c>
      <c r="P34" s="93"/>
      <c r="Q34" s="81">
        <f aca="true" t="shared" si="0" ref="Q34:Q37">I34*(1-K34)</f>
        <v>0</v>
      </c>
      <c r="R34" s="81"/>
      <c r="S34" s="81">
        <f aca="true" t="shared" si="1" ref="S34:S37">I34*K34*M34*(13-O34)/12</f>
        <v>0</v>
      </c>
      <c r="T34" s="81"/>
    </row>
    <row r="35" spans="2:20" ht="21">
      <c r="B35" s="95" t="s">
        <v>2</v>
      </c>
      <c r="C35" s="96"/>
      <c r="D35" s="97"/>
      <c r="E35" s="121">
        <v>0</v>
      </c>
      <c r="F35" s="122"/>
      <c r="G35" s="117">
        <v>850</v>
      </c>
      <c r="H35" s="118"/>
      <c r="I35" s="115">
        <f>E35*G35</f>
        <v>0</v>
      </c>
      <c r="J35" s="116"/>
      <c r="K35" s="90">
        <v>0</v>
      </c>
      <c r="L35" s="90"/>
      <c r="M35" s="92"/>
      <c r="N35" s="92"/>
      <c r="O35" s="93">
        <v>9</v>
      </c>
      <c r="P35" s="93"/>
      <c r="Q35" s="81">
        <f t="shared" si="0"/>
        <v>0</v>
      </c>
      <c r="R35" s="81"/>
      <c r="S35" s="81">
        <f t="shared" si="1"/>
        <v>0</v>
      </c>
      <c r="T35" s="81"/>
    </row>
    <row r="36" spans="2:20" ht="18.75" customHeight="1">
      <c r="B36" s="95" t="s">
        <v>23</v>
      </c>
      <c r="C36" s="96"/>
      <c r="D36" s="97"/>
      <c r="E36" s="121">
        <v>1</v>
      </c>
      <c r="F36" s="122"/>
      <c r="G36" s="117">
        <v>2850</v>
      </c>
      <c r="H36" s="118"/>
      <c r="I36" s="115">
        <f>E36*G36</f>
        <v>2850</v>
      </c>
      <c r="J36" s="116"/>
      <c r="K36" s="90">
        <v>0.5</v>
      </c>
      <c r="L36" s="90"/>
      <c r="M36" s="92">
        <v>0.06</v>
      </c>
      <c r="N36" s="92"/>
      <c r="O36" s="93">
        <v>4</v>
      </c>
      <c r="P36" s="93"/>
      <c r="Q36" s="81">
        <f t="shared" si="0"/>
        <v>1425</v>
      </c>
      <c r="R36" s="81"/>
      <c r="S36" s="81">
        <f t="shared" si="1"/>
        <v>64.125</v>
      </c>
      <c r="T36" s="81"/>
    </row>
    <row r="37" spans="2:20" ht="18.75" customHeight="1">
      <c r="B37" s="95" t="s">
        <v>24</v>
      </c>
      <c r="C37" s="96"/>
      <c r="D37" s="97"/>
      <c r="E37" s="138">
        <f>SUM(E33:F36)</f>
        <v>1</v>
      </c>
      <c r="F37" s="139"/>
      <c r="G37" s="119"/>
      <c r="H37" s="120"/>
      <c r="I37" s="115">
        <f>SUM(I33:J36)</f>
        <v>2850</v>
      </c>
      <c r="J37" s="116"/>
      <c r="K37" s="91"/>
      <c r="L37" s="91"/>
      <c r="M37" s="140"/>
      <c r="N37" s="140"/>
      <c r="O37" s="141"/>
      <c r="P37" s="141"/>
      <c r="Q37" s="81">
        <f t="shared" si="0"/>
        <v>2850</v>
      </c>
      <c r="R37" s="81"/>
      <c r="S37" s="81">
        <f t="shared" si="1"/>
        <v>0</v>
      </c>
      <c r="T37" s="81"/>
    </row>
    <row r="38" spans="2:14" ht="18" customHeight="1">
      <c r="B38" s="7"/>
      <c r="C38" s="7"/>
      <c r="D38" s="7"/>
      <c r="E38" s="8"/>
      <c r="F38" s="8"/>
      <c r="G38" s="8"/>
      <c r="H38" s="8"/>
      <c r="I38" s="8"/>
      <c r="J38" s="8"/>
      <c r="K38" s="8"/>
      <c r="L38" s="9"/>
      <c r="M38" s="9"/>
      <c r="N38" s="9"/>
    </row>
    <row r="39" spans="2:15" ht="15" customHeight="1">
      <c r="B39" s="86" t="s">
        <v>146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 ht="15" customHeight="1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 ht="38.25" customHeight="1">
      <c r="B41" s="101"/>
      <c r="C41" s="102"/>
      <c r="D41" s="103"/>
      <c r="E41" s="49" t="s">
        <v>262</v>
      </c>
      <c r="F41" s="149" t="s">
        <v>263</v>
      </c>
      <c r="G41" s="133"/>
      <c r="H41" s="84" t="s">
        <v>303</v>
      </c>
      <c r="I41" s="85"/>
      <c r="J41" s="149" t="s">
        <v>231</v>
      </c>
      <c r="K41" s="133"/>
      <c r="L41" s="133" t="s">
        <v>21</v>
      </c>
      <c r="M41" s="133"/>
      <c r="N41" s="133" t="s">
        <v>22</v>
      </c>
      <c r="O41" s="133"/>
    </row>
    <row r="42" spans="2:15" ht="18">
      <c r="B42" s="100" t="s">
        <v>260</v>
      </c>
      <c r="C42" s="100"/>
      <c r="D42" s="100"/>
      <c r="E42" s="54">
        <v>24</v>
      </c>
      <c r="F42" s="136">
        <v>1150</v>
      </c>
      <c r="G42" s="136"/>
      <c r="H42" s="98">
        <v>1000</v>
      </c>
      <c r="I42" s="99"/>
      <c r="J42" s="137">
        <v>82</v>
      </c>
      <c r="K42" s="137"/>
      <c r="L42" s="104">
        <f>J42*F42/100</f>
        <v>943</v>
      </c>
      <c r="M42" s="104"/>
      <c r="N42" s="104">
        <f>E42*L42</f>
        <v>22632</v>
      </c>
      <c r="O42" s="104"/>
    </row>
    <row r="43" spans="2:15" ht="18">
      <c r="B43" s="100" t="s">
        <v>261</v>
      </c>
      <c r="C43" s="100"/>
      <c r="D43" s="100"/>
      <c r="E43" s="54">
        <v>0</v>
      </c>
      <c r="F43" s="136">
        <v>825</v>
      </c>
      <c r="G43" s="136"/>
      <c r="H43" s="98">
        <v>850</v>
      </c>
      <c r="I43" s="99"/>
      <c r="J43" s="137">
        <v>162</v>
      </c>
      <c r="K43" s="137"/>
      <c r="L43" s="104">
        <f>J43*F43/100</f>
        <v>1336.5</v>
      </c>
      <c r="M43" s="104"/>
      <c r="N43" s="104">
        <f>E43*L43</f>
        <v>0</v>
      </c>
      <c r="O43" s="104"/>
    </row>
    <row r="44" spans="2:15" ht="18.75" customHeight="1">
      <c r="B44" s="100" t="s">
        <v>26</v>
      </c>
      <c r="C44" s="100"/>
      <c r="D44" s="100"/>
      <c r="E44" s="55">
        <v>1</v>
      </c>
      <c r="F44" s="105">
        <v>1750</v>
      </c>
      <c r="G44" s="106"/>
      <c r="H44" s="98">
        <v>1300</v>
      </c>
      <c r="I44" s="99"/>
      <c r="J44" s="146">
        <v>104</v>
      </c>
      <c r="K44" s="147"/>
      <c r="L44" s="142">
        <f>J44*F44/100</f>
        <v>1820</v>
      </c>
      <c r="M44" s="143"/>
      <c r="N44" s="142">
        <f>E44*L44</f>
        <v>1820</v>
      </c>
      <c r="O44" s="143"/>
    </row>
    <row r="45" spans="2:16" ht="18">
      <c r="B45" s="100" t="s">
        <v>25</v>
      </c>
      <c r="C45" s="100"/>
      <c r="D45" s="100"/>
      <c r="E45" s="50">
        <f>SUM(E42:E44)</f>
        <v>25</v>
      </c>
      <c r="F45" s="148">
        <f>SUMPRODUCT(E42:E44,F42:F44)</f>
        <v>29350</v>
      </c>
      <c r="G45" s="148"/>
      <c r="H45" s="144"/>
      <c r="I45" s="145"/>
      <c r="J45" s="144"/>
      <c r="K45" s="145"/>
      <c r="L45" s="134"/>
      <c r="M45" s="135"/>
      <c r="N45" s="104">
        <f>SUM(N42:O44)</f>
        <v>24452</v>
      </c>
      <c r="O45" s="104"/>
      <c r="P45" s="9"/>
    </row>
    <row r="46" spans="2:14" ht="15">
      <c r="B46" s="10"/>
      <c r="C46" s="10"/>
      <c r="D46" s="10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15" customHeight="1">
      <c r="B47" s="86" t="s">
        <v>5</v>
      </c>
      <c r="C47" s="86"/>
      <c r="D47" s="86"/>
      <c r="E47" s="86"/>
      <c r="F47" s="86"/>
      <c r="G47" s="86"/>
      <c r="H47" s="86"/>
      <c r="I47" s="86"/>
      <c r="J47" s="86"/>
      <c r="K47" s="9"/>
      <c r="L47" s="9"/>
      <c r="M47" s="9"/>
      <c r="N47" s="9"/>
    </row>
    <row r="48" spans="2:14" ht="15" customHeight="1">
      <c r="B48" s="86"/>
      <c r="C48" s="86"/>
      <c r="D48" s="86"/>
      <c r="E48" s="86"/>
      <c r="F48" s="86"/>
      <c r="G48" s="86"/>
      <c r="H48" s="86"/>
      <c r="I48" s="86"/>
      <c r="J48" s="86"/>
      <c r="K48" s="9"/>
      <c r="L48" s="9"/>
      <c r="M48" s="9"/>
      <c r="N48" s="9"/>
    </row>
    <row r="49" spans="2:14" ht="37.5" customHeight="1">
      <c r="B49" s="110"/>
      <c r="C49" s="111"/>
      <c r="D49" s="111"/>
      <c r="E49" s="84" t="s">
        <v>252</v>
      </c>
      <c r="F49" s="85"/>
      <c r="G49" s="84" t="s">
        <v>2</v>
      </c>
      <c r="H49" s="85"/>
      <c r="I49" s="84" t="s">
        <v>23</v>
      </c>
      <c r="J49" s="85"/>
      <c r="K49" s="9"/>
      <c r="L49" s="9"/>
      <c r="M49" s="9"/>
      <c r="N49" s="9"/>
    </row>
    <row r="50" spans="2:14" ht="18">
      <c r="B50" s="100" t="s">
        <v>332</v>
      </c>
      <c r="C50" s="100"/>
      <c r="D50" s="100"/>
      <c r="E50" s="94">
        <f>E10+G10+E12+G12</f>
        <v>100</v>
      </c>
      <c r="F50" s="94"/>
      <c r="G50" s="94">
        <f>I10+G12</f>
        <v>25</v>
      </c>
      <c r="H50" s="94"/>
      <c r="I50" s="94">
        <f>K10+K12</f>
        <v>3</v>
      </c>
      <c r="J50" s="94"/>
      <c r="K50" s="9"/>
      <c r="L50" s="9"/>
      <c r="M50" s="9"/>
      <c r="N50" s="9"/>
    </row>
    <row r="51" spans="2:14" ht="18">
      <c r="B51" s="100" t="s">
        <v>333</v>
      </c>
      <c r="C51" s="100"/>
      <c r="D51" s="100"/>
      <c r="E51" s="82">
        <f>I10+I12</f>
        <v>25</v>
      </c>
      <c r="F51" s="83"/>
      <c r="G51" s="82">
        <f>E20+G20</f>
        <v>25</v>
      </c>
      <c r="H51" s="83"/>
      <c r="I51" s="82"/>
      <c r="J51" s="83"/>
      <c r="K51" s="9"/>
      <c r="L51" s="9"/>
      <c r="M51" s="9"/>
      <c r="N51" s="9"/>
    </row>
    <row r="52" spans="2:14" ht="18">
      <c r="B52" s="100" t="s">
        <v>334</v>
      </c>
      <c r="C52" s="100"/>
      <c r="D52" s="100"/>
      <c r="E52" s="82"/>
      <c r="F52" s="83"/>
      <c r="G52" s="82">
        <f>-E51</f>
        <v>-25</v>
      </c>
      <c r="H52" s="83"/>
      <c r="I52" s="82"/>
      <c r="J52" s="83"/>
      <c r="K52" s="9"/>
      <c r="L52" s="9"/>
      <c r="M52" s="9"/>
      <c r="N52" s="9"/>
    </row>
    <row r="53" spans="2:14" ht="18">
      <c r="B53" s="100" t="s">
        <v>330</v>
      </c>
      <c r="C53" s="100"/>
      <c r="D53" s="100"/>
      <c r="E53" s="94">
        <f>+E33+E34</f>
        <v>0</v>
      </c>
      <c r="F53" s="94"/>
      <c r="G53" s="94">
        <f>E35</f>
        <v>0</v>
      </c>
      <c r="H53" s="94"/>
      <c r="I53" s="94">
        <f>E36</f>
        <v>1</v>
      </c>
      <c r="J53" s="94"/>
      <c r="K53" s="9"/>
      <c r="L53" s="9"/>
      <c r="M53" s="9"/>
      <c r="N53" s="9"/>
    </row>
    <row r="54" spans="2:14" ht="18">
      <c r="B54" s="100" t="s">
        <v>256</v>
      </c>
      <c r="C54" s="100"/>
      <c r="D54" s="100"/>
      <c r="E54" s="94">
        <f>-E42</f>
        <v>-24</v>
      </c>
      <c r="F54" s="94"/>
      <c r="G54" s="94">
        <f>-E43</f>
        <v>0</v>
      </c>
      <c r="H54" s="94"/>
      <c r="I54" s="94">
        <f>-E44</f>
        <v>-1</v>
      </c>
      <c r="J54" s="94"/>
      <c r="K54" s="9"/>
      <c r="L54" s="9"/>
      <c r="M54" s="9"/>
      <c r="N54" s="9"/>
    </row>
    <row r="55" spans="2:10" ht="18">
      <c r="B55" s="100" t="s">
        <v>13</v>
      </c>
      <c r="C55" s="100"/>
      <c r="D55" s="100"/>
      <c r="E55" s="94">
        <f>-(E10*E14+G10*G14)</f>
        <v>-1</v>
      </c>
      <c r="F55" s="94"/>
      <c r="G55" s="94">
        <f>-(I10+I12)*I14</f>
        <v>-0.25</v>
      </c>
      <c r="H55" s="94"/>
      <c r="I55" s="94">
        <f>-(K10+K12)*K14</f>
        <v>-0.03</v>
      </c>
      <c r="J55" s="94"/>
    </row>
    <row r="56" spans="2:10" ht="18">
      <c r="B56" s="100" t="s">
        <v>331</v>
      </c>
      <c r="C56" s="100"/>
      <c r="D56" s="100"/>
      <c r="E56" s="94">
        <f>SUM(E50:F55)</f>
        <v>100</v>
      </c>
      <c r="F56" s="94"/>
      <c r="G56" s="94">
        <f>SUM(G50:H55)</f>
        <v>24.75</v>
      </c>
      <c r="H56" s="94"/>
      <c r="I56" s="94">
        <f>SUM(I50:J55)</f>
        <v>2.97</v>
      </c>
      <c r="J56" s="94"/>
    </row>
  </sheetData>
  <mergeCells count="245">
    <mergeCell ref="I56:J56"/>
    <mergeCell ref="B47:J48"/>
    <mergeCell ref="B52:D52"/>
    <mergeCell ref="E52:F52"/>
    <mergeCell ref="G52:H52"/>
    <mergeCell ref="I49:J49"/>
    <mergeCell ref="I51:J51"/>
    <mergeCell ref="I52:J52"/>
    <mergeCell ref="I53:J53"/>
    <mergeCell ref="I54:J54"/>
    <mergeCell ref="I55:J55"/>
    <mergeCell ref="B54:D54"/>
    <mergeCell ref="B55:D55"/>
    <mergeCell ref="B56:D56"/>
    <mergeCell ref="E54:F54"/>
    <mergeCell ref="E55:F55"/>
    <mergeCell ref="E56:F56"/>
    <mergeCell ref="G54:H54"/>
    <mergeCell ref="G55:H55"/>
    <mergeCell ref="G56:H56"/>
    <mergeCell ref="B50:D50"/>
    <mergeCell ref="E53:F53"/>
    <mergeCell ref="G53:H53"/>
    <mergeCell ref="G51:H51"/>
    <mergeCell ref="M4:R5"/>
    <mergeCell ref="B18:C18"/>
    <mergeCell ref="E17:F17"/>
    <mergeCell ref="E13:F13"/>
    <mergeCell ref="E12:F12"/>
    <mergeCell ref="B13:C13"/>
    <mergeCell ref="K9:L9"/>
    <mergeCell ref="K12:L12"/>
    <mergeCell ref="I11:J11"/>
    <mergeCell ref="K11:L11"/>
    <mergeCell ref="I17:J17"/>
    <mergeCell ref="K13:L13"/>
    <mergeCell ref="K14:L14"/>
    <mergeCell ref="K15:L15"/>
    <mergeCell ref="K16:L16"/>
    <mergeCell ref="K17:L17"/>
    <mergeCell ref="K18:L18"/>
    <mergeCell ref="M11:N11"/>
    <mergeCell ref="M9:N9"/>
    <mergeCell ref="G17:H17"/>
    <mergeCell ref="B14:C14"/>
    <mergeCell ref="B15:C15"/>
    <mergeCell ref="B12:C12"/>
    <mergeCell ref="B17:C17"/>
    <mergeCell ref="B21:C21"/>
    <mergeCell ref="E21:F21"/>
    <mergeCell ref="B16:C16"/>
    <mergeCell ref="E24:F24"/>
    <mergeCell ref="G21:H21"/>
    <mergeCell ref="B34:D34"/>
    <mergeCell ref="B35:D35"/>
    <mergeCell ref="B36:D36"/>
    <mergeCell ref="B32:D32"/>
    <mergeCell ref="B19:C19"/>
    <mergeCell ref="B20:C20"/>
    <mergeCell ref="B24:D24"/>
    <mergeCell ref="G28:H28"/>
    <mergeCell ref="B25:D25"/>
    <mergeCell ref="B26:D26"/>
    <mergeCell ref="B27:D27"/>
    <mergeCell ref="B28:D28"/>
    <mergeCell ref="E25:F25"/>
    <mergeCell ref="B22:C22"/>
    <mergeCell ref="E22:F22"/>
    <mergeCell ref="B23:C23"/>
    <mergeCell ref="E23:F23"/>
    <mergeCell ref="E28:F28"/>
    <mergeCell ref="G22:H22"/>
    <mergeCell ref="I21:J21"/>
    <mergeCell ref="G16:H16"/>
    <mergeCell ref="G18:H18"/>
    <mergeCell ref="I16:J16"/>
    <mergeCell ref="E19:F19"/>
    <mergeCell ref="G19:H19"/>
    <mergeCell ref="E20:F20"/>
    <mergeCell ref="G20:H20"/>
    <mergeCell ref="I19:J19"/>
    <mergeCell ref="I20:J20"/>
    <mergeCell ref="E11:F11"/>
    <mergeCell ref="G11:H11"/>
    <mergeCell ref="B9:C9"/>
    <mergeCell ref="G12:H12"/>
    <mergeCell ref="I12:J12"/>
    <mergeCell ref="E16:F16"/>
    <mergeCell ref="E18:F18"/>
    <mergeCell ref="G13:H13"/>
    <mergeCell ref="I13:J13"/>
    <mergeCell ref="I18:J18"/>
    <mergeCell ref="H45:I45"/>
    <mergeCell ref="F41:G41"/>
    <mergeCell ref="J41:K41"/>
    <mergeCell ref="B2:K3"/>
    <mergeCell ref="H4:I4"/>
    <mergeCell ref="B5:G6"/>
    <mergeCell ref="H5:K6"/>
    <mergeCell ref="E9:F9"/>
    <mergeCell ref="G9:H9"/>
    <mergeCell ref="I9:J9"/>
    <mergeCell ref="E14:F14"/>
    <mergeCell ref="E15:F15"/>
    <mergeCell ref="G15:H15"/>
    <mergeCell ref="I15:J15"/>
    <mergeCell ref="G14:H14"/>
    <mergeCell ref="I14:J14"/>
    <mergeCell ref="B8:N8"/>
    <mergeCell ref="B10:C10"/>
    <mergeCell ref="E10:F10"/>
    <mergeCell ref="G10:H10"/>
    <mergeCell ref="I10:J10"/>
    <mergeCell ref="K10:L10"/>
    <mergeCell ref="M10:N10"/>
    <mergeCell ref="B11:C11"/>
    <mergeCell ref="G25:H25"/>
    <mergeCell ref="L41:M41"/>
    <mergeCell ref="L45:M45"/>
    <mergeCell ref="F43:G43"/>
    <mergeCell ref="J43:K43"/>
    <mergeCell ref="E34:F34"/>
    <mergeCell ref="E35:F35"/>
    <mergeCell ref="E36:F36"/>
    <mergeCell ref="E37:F37"/>
    <mergeCell ref="I36:J36"/>
    <mergeCell ref="K32:L32"/>
    <mergeCell ref="M32:N32"/>
    <mergeCell ref="N41:O41"/>
    <mergeCell ref="M37:N37"/>
    <mergeCell ref="O37:P37"/>
    <mergeCell ref="N44:O44"/>
    <mergeCell ref="J45:K45"/>
    <mergeCell ref="L44:M44"/>
    <mergeCell ref="J44:K44"/>
    <mergeCell ref="L43:M43"/>
    <mergeCell ref="N43:O43"/>
    <mergeCell ref="F45:G45"/>
    <mergeCell ref="F42:G42"/>
    <mergeCell ref="J42:K42"/>
    <mergeCell ref="E27:F27"/>
    <mergeCell ref="I25:J25"/>
    <mergeCell ref="E26:F26"/>
    <mergeCell ref="E32:F32"/>
    <mergeCell ref="G32:H32"/>
    <mergeCell ref="I32:J32"/>
    <mergeCell ref="M21:N21"/>
    <mergeCell ref="M22:N22"/>
    <mergeCell ref="M23:N23"/>
    <mergeCell ref="M24:N24"/>
    <mergeCell ref="M25:N25"/>
    <mergeCell ref="M26:N26"/>
    <mergeCell ref="M27:N27"/>
    <mergeCell ref="M28:N28"/>
    <mergeCell ref="I28:J28"/>
    <mergeCell ref="G26:H26"/>
    <mergeCell ref="I26:J26"/>
    <mergeCell ref="G27:H27"/>
    <mergeCell ref="I27:J27"/>
    <mergeCell ref="I22:J22"/>
    <mergeCell ref="G23:H23"/>
    <mergeCell ref="I23:J23"/>
    <mergeCell ref="G24:H24"/>
    <mergeCell ref="I24:J24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19:L19"/>
    <mergeCell ref="K20:L20"/>
    <mergeCell ref="K21:L21"/>
    <mergeCell ref="B51:D51"/>
    <mergeCell ref="B53:D53"/>
    <mergeCell ref="B49:D49"/>
    <mergeCell ref="K22:L22"/>
    <mergeCell ref="K23:L23"/>
    <mergeCell ref="K24:L24"/>
    <mergeCell ref="K25:L25"/>
    <mergeCell ref="K26:L26"/>
    <mergeCell ref="K27:L27"/>
    <mergeCell ref="K28:L28"/>
    <mergeCell ref="I35:J35"/>
    <mergeCell ref="G36:H36"/>
    <mergeCell ref="G37:H37"/>
    <mergeCell ref="I37:J37"/>
    <mergeCell ref="G34:H34"/>
    <mergeCell ref="I34:J34"/>
    <mergeCell ref="G35:H35"/>
    <mergeCell ref="E33:F33"/>
    <mergeCell ref="G33:H33"/>
    <mergeCell ref="I33:J33"/>
    <mergeCell ref="B33:D33"/>
    <mergeCell ref="M36:N36"/>
    <mergeCell ref="Q32:R32"/>
    <mergeCell ref="O32:P32"/>
    <mergeCell ref="Q37:R37"/>
    <mergeCell ref="E50:F50"/>
    <mergeCell ref="G50:H50"/>
    <mergeCell ref="I50:J50"/>
    <mergeCell ref="B37:D37"/>
    <mergeCell ref="H41:I41"/>
    <mergeCell ref="H42:I42"/>
    <mergeCell ref="O36:P36"/>
    <mergeCell ref="Q36:R36"/>
    <mergeCell ref="B42:D42"/>
    <mergeCell ref="B43:D43"/>
    <mergeCell ref="B44:D44"/>
    <mergeCell ref="B45:D45"/>
    <mergeCell ref="B41:D41"/>
    <mergeCell ref="B39:O40"/>
    <mergeCell ref="L42:M42"/>
    <mergeCell ref="N42:O42"/>
    <mergeCell ref="N45:O45"/>
    <mergeCell ref="F44:G44"/>
    <mergeCell ref="H43:I43"/>
    <mergeCell ref="H44:I44"/>
    <mergeCell ref="S36:T36"/>
    <mergeCell ref="E51:F51"/>
    <mergeCell ref="E49:F49"/>
    <mergeCell ref="G49:H49"/>
    <mergeCell ref="S37:T37"/>
    <mergeCell ref="B30:T31"/>
    <mergeCell ref="S32:T32"/>
    <mergeCell ref="K33:L33"/>
    <mergeCell ref="K34:L34"/>
    <mergeCell ref="K35:L35"/>
    <mergeCell ref="K36:L36"/>
    <mergeCell ref="K37:L37"/>
    <mergeCell ref="M33:N33"/>
    <mergeCell ref="O33:P33"/>
    <mergeCell ref="Q33:R33"/>
    <mergeCell ref="S33:T33"/>
    <mergeCell ref="M34:N34"/>
    <mergeCell ref="O34:P34"/>
    <mergeCell ref="Q34:R34"/>
    <mergeCell ref="S34:T34"/>
    <mergeCell ref="M35:N35"/>
    <mergeCell ref="O35:P35"/>
    <mergeCell ref="Q35:R35"/>
    <mergeCell ref="S35:T35"/>
  </mergeCells>
  <dataValidations count="7" xWindow="594" yWindow="860">
    <dataValidation allowBlank="1" showInputMessage="1" showErrorMessage="1" prompt="Enter the percent of calves weaned from cow inventory at the start of the year." sqref="E16:F16"/>
    <dataValidation allowBlank="1" showInputMessage="1" showErrorMessage="1" prompt="Enter the percent of calves weaned from 1st calf-heifer inventory at the start of the year." sqref="G16:H16"/>
    <dataValidation allowBlank="1" showInputMessage="1" showErrorMessage="1" prompt="Average cost basis is purchase price minus accumulated depreciation for purchased breeding stock. For raised breeding stock,base value  is total development cost." sqref="H42:I44"/>
    <dataValidation allowBlank="1" showInputMessage="1" showErrorMessage="1" prompt="Enter the number of breeding livestock raised on-farm and retained." sqref="E10:L10"/>
    <dataValidation allowBlank="1" showInputMessage="1" showErrorMessage="1" prompt="Enter the total investment ($/head) in raised breeding livestock." sqref="E11:L11"/>
    <dataValidation allowBlank="1" showInputMessage="1" showErrorMessage="1" prompt="Hiefers retained for the breeding herd." sqref="B20:C20"/>
    <dataValidation type="decimal" allowBlank="1" showInputMessage="1" showErrorMessage="1" sqref="K33:L36">
      <formula1>0</formula1>
      <formula2>1</formula2>
    </dataValidation>
  </dataValidations>
  <printOptions/>
  <pageMargins left="0.7" right="0.7" top="0.75" bottom="0.75" header="0.3" footer="0.3"/>
  <pageSetup fitToHeight="1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N37"/>
  <sheetViews>
    <sheetView workbookViewId="0" topLeftCell="A1"/>
  </sheetViews>
  <sheetFormatPr defaultColWidth="9.140625" defaultRowHeight="15"/>
  <cols>
    <col min="3" max="3" width="10.8515625" style="0" customWidth="1"/>
  </cols>
  <sheetData>
    <row r="2" spans="2:14" ht="15" customHeight="1">
      <c r="B2" s="86" t="s">
        <v>149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2:14" ht="15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2:14" ht="18" customHeight="1">
      <c r="B4" s="175"/>
      <c r="C4" s="176"/>
      <c r="D4" s="29"/>
      <c r="E4" s="227" t="s">
        <v>132</v>
      </c>
      <c r="F4" s="228"/>
      <c r="G4" s="227" t="s">
        <v>132</v>
      </c>
      <c r="H4" s="228"/>
      <c r="I4" s="227" t="s">
        <v>131</v>
      </c>
      <c r="J4" s="228"/>
      <c r="K4" s="227" t="s">
        <v>131</v>
      </c>
      <c r="L4" s="228"/>
      <c r="M4" s="229" t="s">
        <v>148</v>
      </c>
      <c r="N4" s="230"/>
    </row>
    <row r="5" spans="2:14" ht="18">
      <c r="B5" s="175"/>
      <c r="C5" s="176"/>
      <c r="D5" s="29" t="s">
        <v>7</v>
      </c>
      <c r="E5" s="256" t="s">
        <v>253</v>
      </c>
      <c r="F5" s="256"/>
      <c r="G5" s="257" t="s">
        <v>254</v>
      </c>
      <c r="H5" s="257"/>
      <c r="I5" s="169" t="s">
        <v>245</v>
      </c>
      <c r="J5" s="169"/>
      <c r="K5" s="87" t="s">
        <v>248</v>
      </c>
      <c r="L5" s="87"/>
      <c r="M5" s="231"/>
      <c r="N5" s="232"/>
    </row>
    <row r="6" spans="2:14" ht="18">
      <c r="B6" s="100" t="s">
        <v>257</v>
      </c>
      <c r="C6" s="100"/>
      <c r="D6" s="28" t="s">
        <v>17</v>
      </c>
      <c r="E6" s="113">
        <v>0</v>
      </c>
      <c r="F6" s="113"/>
      <c r="G6" s="113">
        <v>0</v>
      </c>
      <c r="H6" s="113"/>
      <c r="I6" s="255">
        <f>calcs!E86+calcs!E87</f>
        <v>0</v>
      </c>
      <c r="J6" s="255"/>
      <c r="K6" s="255">
        <f>calcs!E88+calcs!E89</f>
        <v>-3.108624468950437E-15</v>
      </c>
      <c r="L6" s="255"/>
      <c r="M6" s="255">
        <f>SUM(E6:L6)</f>
        <v>-3.108624468950437E-15</v>
      </c>
      <c r="N6" s="255"/>
    </row>
    <row r="7" spans="2:14" ht="18">
      <c r="B7" s="123" t="s">
        <v>127</v>
      </c>
      <c r="C7" s="125"/>
      <c r="D7" s="4" t="s">
        <v>8</v>
      </c>
      <c r="E7" s="170">
        <v>1</v>
      </c>
      <c r="F7" s="170"/>
      <c r="G7" s="170">
        <v>0</v>
      </c>
      <c r="H7" s="170"/>
      <c r="I7" s="243" t="s">
        <v>147</v>
      </c>
      <c r="J7" s="243"/>
      <c r="K7" s="243" t="s">
        <v>147</v>
      </c>
      <c r="L7" s="243"/>
      <c r="M7" s="258"/>
      <c r="N7" s="258"/>
    </row>
    <row r="8" spans="2:14" ht="18">
      <c r="B8" s="123" t="s">
        <v>153</v>
      </c>
      <c r="C8" s="125"/>
      <c r="D8" s="4" t="s">
        <v>9</v>
      </c>
      <c r="E8" s="113">
        <v>525</v>
      </c>
      <c r="F8" s="113"/>
      <c r="G8" s="113">
        <v>525</v>
      </c>
      <c r="H8" s="113"/>
      <c r="I8" s="113">
        <v>525</v>
      </c>
      <c r="J8" s="113"/>
      <c r="K8" s="113">
        <v>500</v>
      </c>
      <c r="L8" s="113"/>
      <c r="M8" s="259"/>
      <c r="N8" s="259"/>
    </row>
    <row r="9" spans="2:14" ht="18">
      <c r="B9" s="123" t="s">
        <v>152</v>
      </c>
      <c r="C9" s="125"/>
      <c r="D9" s="4" t="s">
        <v>10</v>
      </c>
      <c r="E9" s="248">
        <v>190</v>
      </c>
      <c r="F9" s="248"/>
      <c r="G9" s="248">
        <v>190</v>
      </c>
      <c r="H9" s="248"/>
      <c r="I9" s="248">
        <v>190</v>
      </c>
      <c r="J9" s="248"/>
      <c r="K9" s="248">
        <v>190</v>
      </c>
      <c r="L9" s="248"/>
      <c r="M9" s="260"/>
      <c r="N9" s="260"/>
    </row>
    <row r="10" spans="2:14" ht="18">
      <c r="B10" s="123" t="s">
        <v>11</v>
      </c>
      <c r="C10" s="125"/>
      <c r="D10" s="4" t="s">
        <v>12</v>
      </c>
      <c r="E10" s="246">
        <v>2</v>
      </c>
      <c r="F10" s="246"/>
      <c r="G10" s="246">
        <v>2.2</v>
      </c>
      <c r="H10" s="246"/>
      <c r="I10" s="246">
        <v>2.4</v>
      </c>
      <c r="J10" s="246"/>
      <c r="K10" s="246">
        <v>2.2</v>
      </c>
      <c r="L10" s="246"/>
      <c r="M10" s="261"/>
      <c r="N10" s="261"/>
    </row>
    <row r="11" spans="2:14" ht="18">
      <c r="B11" s="123" t="s">
        <v>13</v>
      </c>
      <c r="C11" s="125"/>
      <c r="D11" s="4" t="s">
        <v>8</v>
      </c>
      <c r="E11" s="170">
        <v>0.02</v>
      </c>
      <c r="F11" s="170"/>
      <c r="G11" s="170">
        <v>0.01</v>
      </c>
      <c r="H11" s="170"/>
      <c r="I11" s="170">
        <v>0.01</v>
      </c>
      <c r="J11" s="170"/>
      <c r="K11" s="170">
        <v>0.01</v>
      </c>
      <c r="L11" s="170"/>
      <c r="M11" s="262"/>
      <c r="N11" s="262"/>
    </row>
    <row r="12" spans="2:14" ht="18">
      <c r="B12" s="123" t="s">
        <v>211</v>
      </c>
      <c r="C12" s="125"/>
      <c r="D12" s="4" t="s">
        <v>14</v>
      </c>
      <c r="E12" s="247">
        <v>135</v>
      </c>
      <c r="F12" s="247"/>
      <c r="G12" s="247">
        <v>135</v>
      </c>
      <c r="H12" s="247"/>
      <c r="I12" s="247">
        <v>180</v>
      </c>
      <c r="J12" s="247"/>
      <c r="K12" s="247">
        <v>180</v>
      </c>
      <c r="L12" s="247"/>
      <c r="M12" s="263"/>
      <c r="N12" s="263"/>
    </row>
    <row r="13" spans="2:14" ht="18">
      <c r="B13" s="123" t="s">
        <v>126</v>
      </c>
      <c r="C13" s="125"/>
      <c r="D13" s="4" t="s">
        <v>15</v>
      </c>
      <c r="E13" s="243">
        <f>IF(E6&gt;0,E8*E9/100*E7,0)</f>
        <v>0</v>
      </c>
      <c r="F13" s="243"/>
      <c r="G13" s="243">
        <f>IF(G6&gt;0,G8*G9/100*G7,0)</f>
        <v>0</v>
      </c>
      <c r="H13" s="243"/>
      <c r="I13" s="243" t="s">
        <v>147</v>
      </c>
      <c r="J13" s="243"/>
      <c r="K13" s="243" t="s">
        <v>147</v>
      </c>
      <c r="L13" s="243"/>
      <c r="M13" s="243" t="str">
        <f>IF(SUM(E6:H6)&gt;0,"$"&amp;ROUND(SUMPRODUCT(E6:H6,E13:H13)/SUM(E6:H6),0)&amp;" avg","$0")</f>
        <v>$0</v>
      </c>
      <c r="N13" s="243"/>
    </row>
    <row r="14" spans="2:14" ht="18">
      <c r="B14" s="181" t="s">
        <v>128</v>
      </c>
      <c r="C14" s="182"/>
      <c r="D14" s="16" t="s">
        <v>16</v>
      </c>
      <c r="E14" s="243">
        <f>E13*E6</f>
        <v>0</v>
      </c>
      <c r="F14" s="243"/>
      <c r="G14" s="243">
        <f>G13*G6</f>
        <v>0</v>
      </c>
      <c r="H14" s="243"/>
      <c r="I14" s="243" t="s">
        <v>147</v>
      </c>
      <c r="J14" s="243"/>
      <c r="K14" s="243" t="s">
        <v>147</v>
      </c>
      <c r="L14" s="243"/>
      <c r="M14" s="243">
        <f>SUM(E14:H14)</f>
        <v>0</v>
      </c>
      <c r="N14" s="243"/>
    </row>
    <row r="15" spans="2:14" ht="18">
      <c r="B15" s="190" t="s">
        <v>34</v>
      </c>
      <c r="C15" s="190"/>
      <c r="D15" s="17" t="s">
        <v>8</v>
      </c>
      <c r="E15" s="112">
        <v>0.0625</v>
      </c>
      <c r="F15" s="112"/>
      <c r="G15" s="112">
        <v>0.0625</v>
      </c>
      <c r="H15" s="112"/>
      <c r="I15" s="243" t="s">
        <v>147</v>
      </c>
      <c r="J15" s="243"/>
      <c r="K15" s="243" t="s">
        <v>147</v>
      </c>
      <c r="L15" s="243"/>
      <c r="M15" s="264">
        <f>IF(M14&gt;0,ROUND(SUMPRODUCT(E14:G14,E15:G15)/M14*100,2)&amp;"% avg",0)</f>
        <v>0</v>
      </c>
      <c r="N15" s="264"/>
    </row>
    <row r="16" spans="2:14" ht="18">
      <c r="B16" s="190" t="s">
        <v>35</v>
      </c>
      <c r="C16" s="190"/>
      <c r="D16" s="17"/>
      <c r="E16" s="245" t="str">
        <f>E12&amp;" days"</f>
        <v>135 days</v>
      </c>
      <c r="F16" s="245"/>
      <c r="G16" s="245" t="str">
        <f>G12&amp;" days"</f>
        <v>135 days</v>
      </c>
      <c r="H16" s="245"/>
      <c r="I16" s="243" t="s">
        <v>147</v>
      </c>
      <c r="J16" s="243"/>
      <c r="K16" s="243" t="s">
        <v>147</v>
      </c>
      <c r="L16" s="243"/>
      <c r="M16" s="244"/>
      <c r="N16" s="244"/>
    </row>
    <row r="17" spans="2:14" ht="18">
      <c r="B17" s="181" t="s">
        <v>82</v>
      </c>
      <c r="C17" s="188"/>
      <c r="D17" s="189"/>
      <c r="E17" s="244"/>
      <c r="F17" s="244"/>
      <c r="G17" s="244"/>
      <c r="H17" s="244"/>
      <c r="I17" s="243" t="s">
        <v>147</v>
      </c>
      <c r="J17" s="243"/>
      <c r="K17" s="243" t="s">
        <v>147</v>
      </c>
      <c r="L17" s="243"/>
      <c r="M17" s="244"/>
      <c r="N17" s="244"/>
    </row>
    <row r="18" spans="2:14" ht="18">
      <c r="B18" s="181" t="s">
        <v>37</v>
      </c>
      <c r="C18" s="188"/>
      <c r="D18" s="189"/>
      <c r="E18" s="253" t="s">
        <v>38</v>
      </c>
      <c r="F18" s="253"/>
      <c r="G18" s="253" t="s">
        <v>38</v>
      </c>
      <c r="H18" s="253"/>
      <c r="I18" s="243" t="s">
        <v>147</v>
      </c>
      <c r="J18" s="243"/>
      <c r="K18" s="243" t="s">
        <v>147</v>
      </c>
      <c r="L18" s="243"/>
      <c r="M18" s="244"/>
      <c r="N18" s="244"/>
    </row>
    <row r="19" spans="2:14" ht="18">
      <c r="B19" s="181" t="s">
        <v>41</v>
      </c>
      <c r="C19" s="188"/>
      <c r="D19" s="189"/>
      <c r="E19" s="243">
        <f>E20+E21</f>
        <v>0</v>
      </c>
      <c r="F19" s="243"/>
      <c r="G19" s="243">
        <f>G20+G21</f>
        <v>0</v>
      </c>
      <c r="H19" s="243"/>
      <c r="I19" s="243" t="s">
        <v>147</v>
      </c>
      <c r="J19" s="243"/>
      <c r="K19" s="243" t="s">
        <v>147</v>
      </c>
      <c r="L19" s="243"/>
      <c r="M19" s="243">
        <f>SUM(E19:H19)</f>
        <v>0</v>
      </c>
      <c r="N19" s="243"/>
    </row>
    <row r="20" spans="2:14" ht="18">
      <c r="B20" s="181" t="s">
        <v>129</v>
      </c>
      <c r="C20" s="188"/>
      <c r="D20" s="189"/>
      <c r="E20" s="243">
        <f>E14</f>
        <v>0</v>
      </c>
      <c r="F20" s="243"/>
      <c r="G20" s="243">
        <f>G14</f>
        <v>0</v>
      </c>
      <c r="H20" s="243"/>
      <c r="I20" s="243" t="s">
        <v>147</v>
      </c>
      <c r="J20" s="243"/>
      <c r="K20" s="243" t="s">
        <v>147</v>
      </c>
      <c r="L20" s="243"/>
      <c r="M20" s="243">
        <f>SUM(E20:H20)</f>
        <v>0</v>
      </c>
      <c r="N20" s="243"/>
    </row>
    <row r="21" spans="2:14" ht="18">
      <c r="B21" s="181" t="s">
        <v>130</v>
      </c>
      <c r="C21" s="188"/>
      <c r="D21" s="189"/>
      <c r="E21" s="243">
        <f>E14*E15/365*E12</f>
        <v>0</v>
      </c>
      <c r="F21" s="243"/>
      <c r="G21" s="243">
        <f>G14*G15/365*G12</f>
        <v>0</v>
      </c>
      <c r="H21" s="243"/>
      <c r="I21" s="243" t="s">
        <v>147</v>
      </c>
      <c r="J21" s="243"/>
      <c r="K21" s="243" t="s">
        <v>147</v>
      </c>
      <c r="L21" s="243"/>
      <c r="M21" s="243">
        <f>SUM(E21:H21)</f>
        <v>0</v>
      </c>
      <c r="N21" s="243"/>
    </row>
    <row r="23" spans="2:14" ht="15" customHeight="1">
      <c r="B23" s="86" t="s">
        <v>151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2:14" ht="15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2:14" ht="18">
      <c r="B25" s="194" t="s">
        <v>264</v>
      </c>
      <c r="C25" s="252" t="s">
        <v>20</v>
      </c>
      <c r="D25" s="252"/>
      <c r="E25" s="251" t="s">
        <v>208</v>
      </c>
      <c r="F25" s="251"/>
      <c r="G25" s="251" t="s">
        <v>210</v>
      </c>
      <c r="H25" s="251"/>
      <c r="I25" s="251" t="s">
        <v>209</v>
      </c>
      <c r="J25" s="251"/>
      <c r="K25" s="251" t="s">
        <v>21</v>
      </c>
      <c r="L25" s="251"/>
      <c r="M25" s="251" t="s">
        <v>22</v>
      </c>
      <c r="N25" s="251"/>
    </row>
    <row r="26" spans="2:14" ht="18">
      <c r="B26" s="194"/>
      <c r="C26" s="249" t="s">
        <v>249</v>
      </c>
      <c r="D26" s="249"/>
      <c r="E26" s="250">
        <f>calcs!D86</f>
        <v>34</v>
      </c>
      <c r="F26" s="250"/>
      <c r="G26" s="136">
        <v>525</v>
      </c>
      <c r="H26" s="136"/>
      <c r="I26" s="137">
        <v>190</v>
      </c>
      <c r="J26" s="137"/>
      <c r="K26" s="104">
        <f>I26*G26/100</f>
        <v>997.5</v>
      </c>
      <c r="L26" s="104"/>
      <c r="M26" s="104">
        <f>E26*K26</f>
        <v>33915</v>
      </c>
      <c r="N26" s="104"/>
    </row>
    <row r="27" spans="2:14" ht="18">
      <c r="B27" s="194"/>
      <c r="C27" s="249" t="s">
        <v>250</v>
      </c>
      <c r="D27" s="249"/>
      <c r="E27" s="250">
        <f>calcs!D88</f>
        <v>15.8</v>
      </c>
      <c r="F27" s="250"/>
      <c r="G27" s="136">
        <v>500</v>
      </c>
      <c r="H27" s="136"/>
      <c r="I27" s="137">
        <v>170</v>
      </c>
      <c r="J27" s="137"/>
      <c r="K27" s="104">
        <f>I27*G27/100</f>
        <v>850</v>
      </c>
      <c r="L27" s="104"/>
      <c r="M27" s="104">
        <f>E27*K27</f>
        <v>13430</v>
      </c>
      <c r="N27" s="104"/>
    </row>
    <row r="28" spans="2:14" ht="18">
      <c r="B28" s="194"/>
      <c r="C28" s="100" t="s">
        <v>251</v>
      </c>
      <c r="D28" s="100"/>
      <c r="E28" s="199"/>
      <c r="F28" s="200"/>
      <c r="G28" s="200"/>
      <c r="H28" s="200"/>
      <c r="I28" s="200"/>
      <c r="J28" s="200"/>
      <c r="K28" s="200"/>
      <c r="L28" s="200"/>
      <c r="M28" s="200"/>
      <c r="N28" s="201"/>
    </row>
    <row r="29" spans="2:14" ht="18">
      <c r="B29" s="194"/>
      <c r="C29" s="249" t="s">
        <v>249</v>
      </c>
      <c r="D29" s="249"/>
      <c r="E29" s="250">
        <f>calcs!D87</f>
        <v>8</v>
      </c>
      <c r="F29" s="250"/>
      <c r="G29" s="136">
        <v>475</v>
      </c>
      <c r="H29" s="136"/>
      <c r="I29" s="137">
        <v>195</v>
      </c>
      <c r="J29" s="137"/>
      <c r="K29" s="104">
        <f>I29*G29/100</f>
        <v>926.25</v>
      </c>
      <c r="L29" s="104"/>
      <c r="M29" s="104">
        <f>E29*K29</f>
        <v>7410</v>
      </c>
      <c r="N29" s="104"/>
    </row>
    <row r="30" spans="2:14" ht="18.6" thickBot="1">
      <c r="B30" s="195"/>
      <c r="C30" s="214" t="s">
        <v>250</v>
      </c>
      <c r="D30" s="214"/>
      <c r="E30" s="215">
        <f>calcs!D89</f>
        <v>2.4</v>
      </c>
      <c r="F30" s="215"/>
      <c r="G30" s="216">
        <v>450</v>
      </c>
      <c r="H30" s="216"/>
      <c r="I30" s="254">
        <v>175</v>
      </c>
      <c r="J30" s="254"/>
      <c r="K30" s="211">
        <f>I30*G30/100</f>
        <v>787.5</v>
      </c>
      <c r="L30" s="211"/>
      <c r="M30" s="211">
        <f>E30*K30</f>
        <v>1890</v>
      </c>
      <c r="N30" s="211"/>
    </row>
    <row r="31" spans="2:14" ht="18.6" thickTop="1">
      <c r="B31" s="193" t="s">
        <v>265</v>
      </c>
      <c r="C31" s="212" t="s">
        <v>188</v>
      </c>
      <c r="D31" s="213"/>
      <c r="E31" s="202"/>
      <c r="F31" s="203"/>
      <c r="G31" s="203"/>
      <c r="H31" s="203"/>
      <c r="I31" s="203"/>
      <c r="J31" s="203"/>
      <c r="K31" s="203"/>
      <c r="L31" s="203"/>
      <c r="M31" s="203"/>
      <c r="N31" s="204"/>
    </row>
    <row r="32" spans="2:14" ht="18">
      <c r="B32" s="194"/>
      <c r="C32" s="233" t="str">
        <f>I5</f>
        <v>stocker steers</v>
      </c>
      <c r="D32" s="234"/>
      <c r="E32" s="209">
        <f>I6*(1-I11)</f>
        <v>0</v>
      </c>
      <c r="F32" s="210"/>
      <c r="G32" s="207">
        <f>I8+I10*I12</f>
        <v>957</v>
      </c>
      <c r="H32" s="208"/>
      <c r="I32" s="146">
        <v>150</v>
      </c>
      <c r="J32" s="147"/>
      <c r="K32" s="104">
        <f>I32*G32/100</f>
        <v>1435.5</v>
      </c>
      <c r="L32" s="104"/>
      <c r="M32" s="104">
        <f>E32*K32</f>
        <v>0</v>
      </c>
      <c r="N32" s="104"/>
    </row>
    <row r="33" spans="2:14" ht="18">
      <c r="B33" s="194"/>
      <c r="C33" s="233" t="str">
        <f>K5</f>
        <v>stocker heifers</v>
      </c>
      <c r="D33" s="234"/>
      <c r="E33" s="209">
        <f>K6*(1-K11)</f>
        <v>-3.0775382242609326E-15</v>
      </c>
      <c r="F33" s="210"/>
      <c r="G33" s="207">
        <f>K8+K10*K12</f>
        <v>896</v>
      </c>
      <c r="H33" s="208"/>
      <c r="I33" s="146">
        <v>155</v>
      </c>
      <c r="J33" s="147"/>
      <c r="K33" s="104">
        <f>I33*G33/100</f>
        <v>1388.8</v>
      </c>
      <c r="L33" s="104"/>
      <c r="M33" s="104">
        <f>E33*K33</f>
        <v>-4.2740850858535834E-12</v>
      </c>
      <c r="N33" s="104"/>
    </row>
    <row r="34" spans="2:14" ht="18">
      <c r="B34" s="194"/>
      <c r="C34" s="123" t="s">
        <v>150</v>
      </c>
      <c r="D34" s="125"/>
      <c r="E34" s="196"/>
      <c r="F34" s="197"/>
      <c r="G34" s="197"/>
      <c r="H34" s="197"/>
      <c r="I34" s="197"/>
      <c r="J34" s="197"/>
      <c r="K34" s="197"/>
      <c r="L34" s="197"/>
      <c r="M34" s="197"/>
      <c r="N34" s="198"/>
    </row>
    <row r="35" spans="2:14" ht="18">
      <c r="B35" s="194"/>
      <c r="C35" s="233" t="str">
        <f>E5</f>
        <v>Stocker 1</v>
      </c>
      <c r="D35" s="234"/>
      <c r="E35" s="205">
        <f>E6*(1-E11)</f>
        <v>0</v>
      </c>
      <c r="F35" s="206"/>
      <c r="G35" s="207">
        <f>E8+E10*E12</f>
        <v>795</v>
      </c>
      <c r="H35" s="208"/>
      <c r="I35" s="146">
        <v>0</v>
      </c>
      <c r="J35" s="147"/>
      <c r="K35" s="104">
        <f>I35*G35/100</f>
        <v>0</v>
      </c>
      <c r="L35" s="104"/>
      <c r="M35" s="104">
        <f>E35*K35</f>
        <v>0</v>
      </c>
      <c r="N35" s="104"/>
    </row>
    <row r="36" spans="2:14" ht="18.6" thickBot="1">
      <c r="B36" s="195"/>
      <c r="C36" s="235" t="str">
        <f>G5</f>
        <v>Stocker 2</v>
      </c>
      <c r="D36" s="236"/>
      <c r="E36" s="237">
        <f>G6*(1-G11)</f>
        <v>0</v>
      </c>
      <c r="F36" s="238"/>
      <c r="G36" s="239">
        <f>G8+G10*G12</f>
        <v>822</v>
      </c>
      <c r="H36" s="240"/>
      <c r="I36" s="241">
        <v>0</v>
      </c>
      <c r="J36" s="242"/>
      <c r="K36" s="211">
        <f>I36*G36/100</f>
        <v>0</v>
      </c>
      <c r="L36" s="211"/>
      <c r="M36" s="211">
        <f>E36*K36</f>
        <v>0</v>
      </c>
      <c r="N36" s="211"/>
    </row>
    <row r="37" spans="2:14" ht="18.6" thickTop="1">
      <c r="B37" s="51"/>
      <c r="C37" s="217" t="s">
        <v>81</v>
      </c>
      <c r="D37" s="218"/>
      <c r="E37" s="219">
        <f>SUM(E26:F36)</f>
        <v>60.199999999999996</v>
      </c>
      <c r="F37" s="220"/>
      <c r="G37" s="221">
        <f>SUMPRODUCT(G26:H36,E26:F36)</f>
        <v>30629.999999999996</v>
      </c>
      <c r="H37" s="222"/>
      <c r="I37" s="223" t="str">
        <f>"$"&amp;ROUND(M37/G37,2)*100&amp;" avg"</f>
        <v>$185 avg</v>
      </c>
      <c r="J37" s="224"/>
      <c r="K37" s="225" t="str">
        <f>"$"&amp;ROUND(M37/E37,0)&amp;" avg"</f>
        <v>$941 avg</v>
      </c>
      <c r="L37" s="226"/>
      <c r="M37" s="225">
        <f>SUM(M26:N36)</f>
        <v>56644.99999999999</v>
      </c>
      <c r="N37" s="226"/>
    </row>
  </sheetData>
  <mergeCells count="177">
    <mergeCell ref="M9:N9"/>
    <mergeCell ref="M10:N10"/>
    <mergeCell ref="M11:N11"/>
    <mergeCell ref="M12:N12"/>
    <mergeCell ref="M13:N13"/>
    <mergeCell ref="I17:J17"/>
    <mergeCell ref="K17:L17"/>
    <mergeCell ref="M17:N17"/>
    <mergeCell ref="I21:J21"/>
    <mergeCell ref="K21:L21"/>
    <mergeCell ref="M21:N21"/>
    <mergeCell ref="I19:J19"/>
    <mergeCell ref="K19:L19"/>
    <mergeCell ref="M19:N19"/>
    <mergeCell ref="I20:J20"/>
    <mergeCell ref="M14:N14"/>
    <mergeCell ref="I15:J15"/>
    <mergeCell ref="K15:L15"/>
    <mergeCell ref="M15:N15"/>
    <mergeCell ref="I16:J16"/>
    <mergeCell ref="K16:L16"/>
    <mergeCell ref="M16:N16"/>
    <mergeCell ref="M18:N18"/>
    <mergeCell ref="I18:J18"/>
    <mergeCell ref="E14:F14"/>
    <mergeCell ref="G14:H14"/>
    <mergeCell ref="I14:J14"/>
    <mergeCell ref="K14:L14"/>
    <mergeCell ref="K5:L5"/>
    <mergeCell ref="I6:J6"/>
    <mergeCell ref="K6:L6"/>
    <mergeCell ref="I9:J9"/>
    <mergeCell ref="K9:L9"/>
    <mergeCell ref="I10:J10"/>
    <mergeCell ref="K10:L10"/>
    <mergeCell ref="I7:J7"/>
    <mergeCell ref="I13:J13"/>
    <mergeCell ref="K13:L13"/>
    <mergeCell ref="I11:J11"/>
    <mergeCell ref="K11:L11"/>
    <mergeCell ref="I12:J12"/>
    <mergeCell ref="K12:L12"/>
    <mergeCell ref="K7:L7"/>
    <mergeCell ref="I5:J5"/>
    <mergeCell ref="M6:N6"/>
    <mergeCell ref="I8:J8"/>
    <mergeCell ref="K8:L8"/>
    <mergeCell ref="E5:F5"/>
    <mergeCell ref="G5:H5"/>
    <mergeCell ref="E6:F6"/>
    <mergeCell ref="G6:H6"/>
    <mergeCell ref="M7:N7"/>
    <mergeCell ref="M8:N8"/>
    <mergeCell ref="B15:C15"/>
    <mergeCell ref="B16:C16"/>
    <mergeCell ref="B17:D17"/>
    <mergeCell ref="B12:C12"/>
    <mergeCell ref="B13:C13"/>
    <mergeCell ref="B5:C5"/>
    <mergeCell ref="B6:C6"/>
    <mergeCell ref="B7:C7"/>
    <mergeCell ref="B8:C8"/>
    <mergeCell ref="B9:C9"/>
    <mergeCell ref="B10:C10"/>
    <mergeCell ref="B11:C11"/>
    <mergeCell ref="K18:L18"/>
    <mergeCell ref="K20:L20"/>
    <mergeCell ref="M20:N20"/>
    <mergeCell ref="G25:H25"/>
    <mergeCell ref="I25:J25"/>
    <mergeCell ref="K25:L25"/>
    <mergeCell ref="M25:N25"/>
    <mergeCell ref="B23:N24"/>
    <mergeCell ref="B18:D18"/>
    <mergeCell ref="B19:D19"/>
    <mergeCell ref="B20:D20"/>
    <mergeCell ref="B21:D21"/>
    <mergeCell ref="C25:D25"/>
    <mergeCell ref="E25:F25"/>
    <mergeCell ref="E18:F18"/>
    <mergeCell ref="G18:H18"/>
    <mergeCell ref="E19:F19"/>
    <mergeCell ref="B25:B30"/>
    <mergeCell ref="I30:J30"/>
    <mergeCell ref="K30:L30"/>
    <mergeCell ref="M30:N30"/>
    <mergeCell ref="C26:D26"/>
    <mergeCell ref="E26:F26"/>
    <mergeCell ref="G26:H26"/>
    <mergeCell ref="I26:J26"/>
    <mergeCell ref="K26:L26"/>
    <mergeCell ref="M26:N26"/>
    <mergeCell ref="C29:D29"/>
    <mergeCell ref="E29:F29"/>
    <mergeCell ref="G29:H29"/>
    <mergeCell ref="I29:J29"/>
    <mergeCell ref="K29:L29"/>
    <mergeCell ref="M29:N29"/>
    <mergeCell ref="C28:D28"/>
    <mergeCell ref="C27:D27"/>
    <mergeCell ref="E27:F27"/>
    <mergeCell ref="G27:H27"/>
    <mergeCell ref="I27:J27"/>
    <mergeCell ref="K27:L27"/>
    <mergeCell ref="M27:N27"/>
    <mergeCell ref="B2:N3"/>
    <mergeCell ref="B4:C4"/>
    <mergeCell ref="I4:J4"/>
    <mergeCell ref="K4:L4"/>
    <mergeCell ref="E4:F4"/>
    <mergeCell ref="E15:F15"/>
    <mergeCell ref="G15:H15"/>
    <mergeCell ref="E16:F16"/>
    <mergeCell ref="G16:H16"/>
    <mergeCell ref="E13:F13"/>
    <mergeCell ref="G13:H13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B14:C14"/>
    <mergeCell ref="C37:D37"/>
    <mergeCell ref="E37:F37"/>
    <mergeCell ref="G37:H37"/>
    <mergeCell ref="I37:J37"/>
    <mergeCell ref="K37:L37"/>
    <mergeCell ref="M37:N37"/>
    <mergeCell ref="G4:H4"/>
    <mergeCell ref="M4:N5"/>
    <mergeCell ref="C32:D32"/>
    <mergeCell ref="C35:D35"/>
    <mergeCell ref="C36:D36"/>
    <mergeCell ref="E36:F36"/>
    <mergeCell ref="G36:H36"/>
    <mergeCell ref="I36:J36"/>
    <mergeCell ref="K36:L36"/>
    <mergeCell ref="G19:H19"/>
    <mergeCell ref="E20:F20"/>
    <mergeCell ref="G20:H20"/>
    <mergeCell ref="E21:F21"/>
    <mergeCell ref="G21:H21"/>
    <mergeCell ref="E17:F17"/>
    <mergeCell ref="G17:H17"/>
    <mergeCell ref="C34:D34"/>
    <mergeCell ref="C33:D33"/>
    <mergeCell ref="B31:B36"/>
    <mergeCell ref="E34:N34"/>
    <mergeCell ref="E28:N28"/>
    <mergeCell ref="E31:N31"/>
    <mergeCell ref="K32:L32"/>
    <mergeCell ref="K35:L35"/>
    <mergeCell ref="M32:N32"/>
    <mergeCell ref="M35:N35"/>
    <mergeCell ref="I35:J35"/>
    <mergeCell ref="E35:F35"/>
    <mergeCell ref="G35:H35"/>
    <mergeCell ref="G32:H32"/>
    <mergeCell ref="E32:F32"/>
    <mergeCell ref="I32:J32"/>
    <mergeCell ref="M36:N36"/>
    <mergeCell ref="E33:F33"/>
    <mergeCell ref="G33:H33"/>
    <mergeCell ref="I33:J33"/>
    <mergeCell ref="K33:L33"/>
    <mergeCell ref="M33:N33"/>
    <mergeCell ref="C31:D31"/>
    <mergeCell ref="C30:D30"/>
    <mergeCell ref="E30:F30"/>
    <mergeCell ref="G30:H30"/>
  </mergeCells>
  <dataValidations count="3">
    <dataValidation allowBlank="1" showInputMessage="1" showErrorMessage="1" prompt="Enter weight when purchased or retained." sqref="K8:L8 G8:H8"/>
    <dataValidation allowBlank="1" showInputMessage="1" showErrorMessage="1" prompt="Enter weight when purchased or weaned." sqref="I8:J8 E8:F8"/>
    <dataValidation allowBlank="1" showInputMessage="1" showErrorMessage="1" prompt="Enter value ($/cwt) when purchased or weaned." sqref="E9:L9"/>
  </dataValidations>
  <printOptions/>
  <pageMargins left="0.17" right="0.25" top="0.34" bottom="0.37" header="0.2" footer="0.3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T66"/>
  <sheetViews>
    <sheetView workbookViewId="0" topLeftCell="A1">
      <selection activeCell="I7" sqref="I7:J7"/>
    </sheetView>
  </sheetViews>
  <sheetFormatPr defaultColWidth="9.140625" defaultRowHeight="15"/>
  <cols>
    <col min="1" max="1" width="2.8515625" style="0" customWidth="1"/>
    <col min="3" max="3" width="18.28125" style="0" customWidth="1"/>
    <col min="6" max="6" width="6.140625" style="0" customWidth="1"/>
    <col min="8" max="8" width="6.140625" style="0" customWidth="1"/>
    <col min="10" max="10" width="6.140625" style="0" customWidth="1"/>
    <col min="12" max="12" width="6.140625" style="0" customWidth="1"/>
    <col min="14" max="14" width="6.140625" style="0" customWidth="1"/>
    <col min="16" max="16" width="7.421875" style="0" customWidth="1"/>
    <col min="18" max="18" width="7.7109375" style="0" customWidth="1"/>
    <col min="20" max="20" width="6.7109375" style="0" customWidth="1"/>
  </cols>
  <sheetData>
    <row r="1" ht="8.25" customHeight="1"/>
    <row r="2" spans="2:16" ht="15" customHeight="1">
      <c r="B2" s="86" t="s">
        <v>171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2:16" ht="15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2:16" ht="18">
      <c r="B4" s="100" t="s">
        <v>31</v>
      </c>
      <c r="C4" s="100"/>
      <c r="D4" s="5" t="s">
        <v>7</v>
      </c>
      <c r="E4" s="87" t="s">
        <v>42</v>
      </c>
      <c r="F4" s="87"/>
      <c r="G4" s="87" t="s">
        <v>204</v>
      </c>
      <c r="H4" s="87"/>
      <c r="I4" s="87" t="s">
        <v>205</v>
      </c>
      <c r="J4" s="87"/>
      <c r="K4" s="257" t="s">
        <v>255</v>
      </c>
      <c r="L4" s="257"/>
      <c r="M4" s="257" t="s">
        <v>313</v>
      </c>
      <c r="N4" s="257"/>
      <c r="O4" s="292" t="s">
        <v>43</v>
      </c>
      <c r="P4" s="292"/>
    </row>
    <row r="5" spans="2:16" ht="18">
      <c r="B5" s="100" t="s">
        <v>45</v>
      </c>
      <c r="C5" s="100"/>
      <c r="D5" s="5"/>
      <c r="E5" s="279">
        <v>1000</v>
      </c>
      <c r="F5" s="279"/>
      <c r="G5" s="279">
        <v>200</v>
      </c>
      <c r="H5" s="279"/>
      <c r="I5" s="279">
        <v>0</v>
      </c>
      <c r="J5" s="279"/>
      <c r="K5" s="279">
        <v>0</v>
      </c>
      <c r="L5" s="279"/>
      <c r="M5" s="279">
        <v>0</v>
      </c>
      <c r="N5" s="279"/>
      <c r="O5" s="293">
        <f>SUM(E5:M5)</f>
        <v>1200</v>
      </c>
      <c r="P5" s="293"/>
    </row>
    <row r="6" spans="2:16" ht="18">
      <c r="B6" s="100" t="s">
        <v>127</v>
      </c>
      <c r="C6" s="100"/>
      <c r="D6" s="5" t="s">
        <v>8</v>
      </c>
      <c r="E6" s="283">
        <v>0</v>
      </c>
      <c r="F6" s="283"/>
      <c r="G6" s="283">
        <v>0.7</v>
      </c>
      <c r="H6" s="283"/>
      <c r="I6" s="283">
        <v>0.5</v>
      </c>
      <c r="J6" s="283"/>
      <c r="K6" s="283">
        <v>0.5</v>
      </c>
      <c r="L6" s="283"/>
      <c r="M6" s="283">
        <v>0.5</v>
      </c>
      <c r="N6" s="283"/>
      <c r="O6" s="265" t="str">
        <f>ROUND(SUMPRODUCT(E6:N6,E5:N5)/SUM(E5:N5)*100,0)&amp;"% avg"</f>
        <v>12% avg</v>
      </c>
      <c r="P6" s="265"/>
    </row>
    <row r="7" spans="2:16" ht="18">
      <c r="B7" s="100" t="s">
        <v>6</v>
      </c>
      <c r="C7" s="100"/>
      <c r="D7" s="5" t="s">
        <v>33</v>
      </c>
      <c r="E7" s="271">
        <v>1100</v>
      </c>
      <c r="F7" s="271"/>
      <c r="G7" s="271">
        <v>1500</v>
      </c>
      <c r="H7" s="271"/>
      <c r="I7" s="271">
        <v>2000</v>
      </c>
      <c r="J7" s="271"/>
      <c r="K7" s="271">
        <v>1100</v>
      </c>
      <c r="L7" s="271"/>
      <c r="M7" s="271">
        <v>1700</v>
      </c>
      <c r="N7" s="271"/>
      <c r="O7" s="294" t="str">
        <f>"$"&amp;ROUND(SUMPRODUCT(E7:N7,E5:N5)/SUM(E5:N5),0)&amp;" avg"</f>
        <v>$1167 avg</v>
      </c>
      <c r="P7" s="295"/>
    </row>
    <row r="8" spans="2:16" ht="18">
      <c r="B8" s="100" t="s">
        <v>137</v>
      </c>
      <c r="C8" s="100"/>
      <c r="D8" s="22" t="s">
        <v>33</v>
      </c>
      <c r="E8" s="104">
        <f>E7*E6</f>
        <v>0</v>
      </c>
      <c r="F8" s="104"/>
      <c r="G8" s="104">
        <f>G7*G6</f>
        <v>1050</v>
      </c>
      <c r="H8" s="104"/>
      <c r="I8" s="104">
        <f>I7*I6</f>
        <v>1000</v>
      </c>
      <c r="J8" s="104"/>
      <c r="K8" s="104">
        <f>K7*K6</f>
        <v>550</v>
      </c>
      <c r="L8" s="104"/>
      <c r="M8" s="104">
        <f>M7*M6</f>
        <v>850</v>
      </c>
      <c r="N8" s="104"/>
      <c r="O8" s="296">
        <f>SUM(E8:M8)</f>
        <v>3450</v>
      </c>
      <c r="P8" s="297"/>
    </row>
    <row r="9" spans="2:16" ht="18">
      <c r="B9" s="100" t="s">
        <v>32</v>
      </c>
      <c r="C9" s="100"/>
      <c r="D9" s="5" t="s">
        <v>33</v>
      </c>
      <c r="E9" s="284">
        <v>2</v>
      </c>
      <c r="F9" s="284"/>
      <c r="G9" s="284">
        <v>2</v>
      </c>
      <c r="H9" s="284"/>
      <c r="I9" s="284">
        <v>2</v>
      </c>
      <c r="J9" s="284"/>
      <c r="K9" s="284">
        <v>2</v>
      </c>
      <c r="L9" s="284"/>
      <c r="M9" s="284">
        <v>2</v>
      </c>
      <c r="N9" s="284"/>
      <c r="O9" s="287" t="str">
        <f>"$"&amp;ROUND(SUMPRODUCT(E9:M9,E5:M5)/O5,2)&amp;" avg"</f>
        <v>$2 avg</v>
      </c>
      <c r="P9" s="287"/>
    </row>
    <row r="10" spans="2:16" ht="18">
      <c r="B10" s="100" t="s">
        <v>136</v>
      </c>
      <c r="C10" s="100"/>
      <c r="D10" s="5" t="s">
        <v>16</v>
      </c>
      <c r="E10" s="104">
        <f>E6*E5*E7</f>
        <v>0</v>
      </c>
      <c r="F10" s="104"/>
      <c r="G10" s="104">
        <f>G6*G5*G7</f>
        <v>210000</v>
      </c>
      <c r="H10" s="104"/>
      <c r="I10" s="104">
        <f>I6*I5*I7</f>
        <v>0</v>
      </c>
      <c r="J10" s="104"/>
      <c r="K10" s="104">
        <f>K6*K5*K7</f>
        <v>0</v>
      </c>
      <c r="L10" s="104"/>
      <c r="M10" s="104">
        <f>M6*M5*M7</f>
        <v>0</v>
      </c>
      <c r="N10" s="104"/>
      <c r="O10" s="104">
        <f>SUM(E10:N10)</f>
        <v>210000</v>
      </c>
      <c r="P10" s="104"/>
    </row>
    <row r="11" spans="2:16" ht="18">
      <c r="B11" s="100" t="s">
        <v>34</v>
      </c>
      <c r="C11" s="100"/>
      <c r="D11" s="5" t="s">
        <v>8</v>
      </c>
      <c r="E11" s="285">
        <v>0.055</v>
      </c>
      <c r="F11" s="286"/>
      <c r="G11" s="285">
        <v>0.0575</v>
      </c>
      <c r="H11" s="286"/>
      <c r="I11" s="285">
        <v>0.05</v>
      </c>
      <c r="J11" s="286"/>
      <c r="K11" s="285">
        <v>0.055</v>
      </c>
      <c r="L11" s="286"/>
      <c r="M11" s="285">
        <v>0.05</v>
      </c>
      <c r="N11" s="286"/>
      <c r="O11" s="288" t="str">
        <f>ROUND((E11*E8*E5+G11*G8*G5+I5*I8*I11+K5*K8*K11+M5*M8*M11)/SUMPRODUCT(E5:N5,E8:N8),2)*100&amp;"% avg"</f>
        <v>6% avg</v>
      </c>
      <c r="P11" s="289"/>
    </row>
    <row r="12" spans="2:16" ht="18">
      <c r="B12" s="123" t="s">
        <v>37</v>
      </c>
      <c r="C12" s="124"/>
      <c r="D12" s="125"/>
      <c r="E12" s="257" t="s">
        <v>38</v>
      </c>
      <c r="F12" s="257"/>
      <c r="G12" s="257" t="s">
        <v>38</v>
      </c>
      <c r="H12" s="257"/>
      <c r="I12" s="257" t="s">
        <v>38</v>
      </c>
      <c r="J12" s="257"/>
      <c r="K12" s="257" t="s">
        <v>38</v>
      </c>
      <c r="L12" s="257"/>
      <c r="M12" s="257" t="s">
        <v>38</v>
      </c>
      <c r="N12" s="257"/>
      <c r="O12" s="290"/>
      <c r="P12" s="290"/>
    </row>
    <row r="13" spans="2:16" ht="18">
      <c r="B13" s="100" t="s">
        <v>35</v>
      </c>
      <c r="C13" s="100"/>
      <c r="D13" s="5" t="s">
        <v>36</v>
      </c>
      <c r="E13" s="280">
        <v>20</v>
      </c>
      <c r="F13" s="280"/>
      <c r="G13" s="280">
        <v>30</v>
      </c>
      <c r="H13" s="280"/>
      <c r="I13" s="280">
        <v>15</v>
      </c>
      <c r="J13" s="280"/>
      <c r="K13" s="280">
        <v>20</v>
      </c>
      <c r="L13" s="280"/>
      <c r="M13" s="280">
        <v>15</v>
      </c>
      <c r="N13" s="280"/>
      <c r="O13" s="291"/>
      <c r="P13" s="291"/>
    </row>
    <row r="14" spans="2:16" ht="18">
      <c r="B14" s="123" t="s">
        <v>39</v>
      </c>
      <c r="C14" s="124"/>
      <c r="D14" s="125"/>
      <c r="E14" s="280">
        <v>10</v>
      </c>
      <c r="F14" s="280"/>
      <c r="G14" s="280">
        <v>20</v>
      </c>
      <c r="H14" s="280"/>
      <c r="I14" s="280">
        <v>10</v>
      </c>
      <c r="J14" s="280"/>
      <c r="K14" s="280">
        <v>5</v>
      </c>
      <c r="L14" s="280"/>
      <c r="M14" s="280">
        <v>10</v>
      </c>
      <c r="N14" s="280"/>
      <c r="O14" s="291"/>
      <c r="P14" s="291"/>
    </row>
    <row r="15" spans="2:16" ht="18">
      <c r="B15" s="100" t="s">
        <v>306</v>
      </c>
      <c r="C15" s="100"/>
      <c r="D15" s="5" t="s">
        <v>40</v>
      </c>
      <c r="E15" s="281">
        <v>0</v>
      </c>
      <c r="F15" s="281"/>
      <c r="G15" s="281">
        <v>14850.410109614977</v>
      </c>
      <c r="H15" s="281"/>
      <c r="I15" s="281">
        <v>0</v>
      </c>
      <c r="J15" s="281"/>
      <c r="K15" s="282">
        <v>0</v>
      </c>
      <c r="L15" s="282"/>
      <c r="M15" s="282">
        <v>0</v>
      </c>
      <c r="N15" s="282"/>
      <c r="O15" s="104">
        <f>SUM(E15:M15)</f>
        <v>14850.410109614977</v>
      </c>
      <c r="P15" s="104"/>
    </row>
    <row r="16" spans="2:16" ht="18">
      <c r="B16" s="100" t="s">
        <v>307</v>
      </c>
      <c r="C16" s="100"/>
      <c r="D16" s="5" t="s">
        <v>40</v>
      </c>
      <c r="E16" s="281">
        <v>0</v>
      </c>
      <c r="F16" s="281"/>
      <c r="G16" s="281">
        <v>4854.3482171217875</v>
      </c>
      <c r="H16" s="281"/>
      <c r="I16" s="281">
        <v>0</v>
      </c>
      <c r="J16" s="281"/>
      <c r="K16" s="282">
        <v>0</v>
      </c>
      <c r="L16" s="282"/>
      <c r="M16" s="282">
        <v>0</v>
      </c>
      <c r="N16" s="282"/>
      <c r="O16" s="104">
        <f>SUM(E16:M16)</f>
        <v>4854.3482171217875</v>
      </c>
      <c r="P16" s="104"/>
    </row>
    <row r="17" spans="2:16" ht="18">
      <c r="B17" s="100" t="s">
        <v>308</v>
      </c>
      <c r="C17" s="100"/>
      <c r="D17" s="5" t="s">
        <v>40</v>
      </c>
      <c r="E17" s="281">
        <v>0</v>
      </c>
      <c r="F17" s="281"/>
      <c r="G17" s="281">
        <v>9996.06189249319</v>
      </c>
      <c r="H17" s="281"/>
      <c r="I17" s="281">
        <v>0</v>
      </c>
      <c r="J17" s="281"/>
      <c r="K17" s="282">
        <v>0</v>
      </c>
      <c r="L17" s="282"/>
      <c r="M17" s="282">
        <v>0</v>
      </c>
      <c r="N17" s="282"/>
      <c r="O17" s="104">
        <f>SUM(E17:M17)</f>
        <v>9996.06189249319</v>
      </c>
      <c r="P17" s="104"/>
    </row>
    <row r="18" spans="2:12" ht="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6" ht="15" customHeight="1">
      <c r="B19" s="86" t="s">
        <v>304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 ht="15" customHeight="1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 ht="18">
      <c r="B21" s="100" t="s">
        <v>31</v>
      </c>
      <c r="C21" s="100"/>
      <c r="D21" s="5" t="s">
        <v>7</v>
      </c>
      <c r="E21" s="101" t="str">
        <f>IF(E4&lt;&gt;"",E4,"")</f>
        <v>Native</v>
      </c>
      <c r="F21" s="103"/>
      <c r="G21" s="101" t="str">
        <f>IF(G4&lt;&gt;"",G4,"")</f>
        <v>Bermuda</v>
      </c>
      <c r="H21" s="103"/>
      <c r="I21" s="101" t="str">
        <f>IF(I4&lt;&gt;"",I4,"")</f>
        <v>Wheat</v>
      </c>
      <c r="J21" s="103"/>
      <c r="K21" s="101" t="str">
        <f>IF(K4&lt;&gt;"",K4,"")</f>
        <v>Native- purch</v>
      </c>
      <c r="L21" s="103"/>
      <c r="M21" s="101" t="str">
        <f>IF(M4&lt;&gt;"",M4,"")</f>
        <v>Fescue</v>
      </c>
      <c r="N21" s="103"/>
      <c r="O21" s="292" t="s">
        <v>43</v>
      </c>
      <c r="P21" s="292"/>
    </row>
    <row r="22" spans="2:16" ht="18">
      <c r="B22" s="100" t="s">
        <v>45</v>
      </c>
      <c r="C22" s="100"/>
      <c r="D22" s="5"/>
      <c r="E22" s="279">
        <v>0</v>
      </c>
      <c r="F22" s="279"/>
      <c r="G22" s="279">
        <v>0</v>
      </c>
      <c r="H22" s="279"/>
      <c r="I22" s="279">
        <v>0</v>
      </c>
      <c r="J22" s="279"/>
      <c r="K22" s="279">
        <v>0</v>
      </c>
      <c r="L22" s="279"/>
      <c r="M22" s="279">
        <v>0</v>
      </c>
      <c r="N22" s="279"/>
      <c r="O22" s="293">
        <f>SUM(E22:M22)</f>
        <v>0</v>
      </c>
      <c r="P22" s="293"/>
    </row>
    <row r="23" spans="2:16" ht="18">
      <c r="B23" s="100" t="s">
        <v>46</v>
      </c>
      <c r="C23" s="100"/>
      <c r="D23" s="5" t="s">
        <v>33</v>
      </c>
      <c r="E23" s="271">
        <v>15</v>
      </c>
      <c r="F23" s="271"/>
      <c r="G23" s="271">
        <v>25</v>
      </c>
      <c r="H23" s="271"/>
      <c r="I23" s="271">
        <v>40</v>
      </c>
      <c r="J23" s="271"/>
      <c r="K23" s="271">
        <v>15</v>
      </c>
      <c r="L23" s="271"/>
      <c r="M23" s="271">
        <v>35</v>
      </c>
      <c r="N23" s="271"/>
      <c r="O23" s="287">
        <f>IF(O22&gt;0,"$"&amp;ROUND(SUMPRODUCT(E23:M23,E22:M22)/O22,2)&amp;" avg",0)</f>
        <v>0</v>
      </c>
      <c r="P23" s="287"/>
    </row>
    <row r="24" spans="2:16" ht="18">
      <c r="B24" s="100" t="s">
        <v>44</v>
      </c>
      <c r="C24" s="100"/>
      <c r="D24" s="5" t="s">
        <v>40</v>
      </c>
      <c r="E24" s="104">
        <f>E23*E22</f>
        <v>0</v>
      </c>
      <c r="F24" s="104"/>
      <c r="G24" s="104">
        <f>G23*G22</f>
        <v>0</v>
      </c>
      <c r="H24" s="104"/>
      <c r="I24" s="104">
        <f>I23*I22</f>
        <v>0</v>
      </c>
      <c r="J24" s="104"/>
      <c r="K24" s="104">
        <f>K23*K22</f>
        <v>0</v>
      </c>
      <c r="L24" s="104"/>
      <c r="M24" s="104">
        <f>M23*M22</f>
        <v>0</v>
      </c>
      <c r="N24" s="104"/>
      <c r="O24" s="104">
        <f>SUM(E24:M24)</f>
        <v>0</v>
      </c>
      <c r="P24" s="104"/>
    </row>
    <row r="26" spans="2:18" ht="16.5" customHeight="1">
      <c r="B26" s="86" t="s">
        <v>299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2:18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2:18" ht="53.25" customHeight="1">
      <c r="B28" s="267" t="s">
        <v>212</v>
      </c>
      <c r="C28" s="306"/>
      <c r="D28" s="38"/>
      <c r="E28" s="267" t="str">
        <f>E40</f>
        <v>Mature cows</v>
      </c>
      <c r="F28" s="268"/>
      <c r="G28" s="267" t="str">
        <f>G40</f>
        <v>1st Calf heifers</v>
      </c>
      <c r="H28" s="268"/>
      <c r="I28" s="267" t="str">
        <f>I40</f>
        <v>Yearling heifers</v>
      </c>
      <c r="J28" s="268"/>
      <c r="K28" s="267" t="str">
        <f>"Purchased "&amp;Calves!E5</f>
        <v>Purchased Stocker 1</v>
      </c>
      <c r="L28" s="268"/>
      <c r="M28" s="267" t="str">
        <f>"Purchased "&amp;Calves!G5</f>
        <v>Purchased Stocker 2</v>
      </c>
      <c r="N28" s="268"/>
      <c r="O28" s="267" t="str">
        <f>"Retained "&amp;Calves!I5</f>
        <v>Retained stocker steers</v>
      </c>
      <c r="P28" s="268"/>
      <c r="Q28" s="267" t="str">
        <f>"Retained "&amp;Calves!K5</f>
        <v>Retained stocker heifers</v>
      </c>
      <c r="R28" s="268"/>
    </row>
    <row r="29" spans="2:18" ht="19.5" customHeight="1">
      <c r="B29" s="269"/>
      <c r="C29" s="307"/>
      <c r="D29" s="39" t="s">
        <v>213</v>
      </c>
      <c r="E29" s="269" t="str">
        <f>" ("&amp;'Cows, heifers, &amp; bulls'!E12+'Cows, heifers, &amp; bulls'!E10&amp;")"</f>
        <v xml:space="preserve"> (80)</v>
      </c>
      <c r="F29" s="270"/>
      <c r="G29" s="269" t="str">
        <f>" ("&amp;'Cows, heifers, &amp; bulls'!G12+'Cows, heifers, &amp; bulls'!G10&amp;")"</f>
        <v xml:space="preserve"> (20)</v>
      </c>
      <c r="H29" s="270"/>
      <c r="I29" s="269" t="str">
        <f>" ("&amp;'Cows, heifers, &amp; bulls'!I12+'Cows, heifers, &amp; bulls'!I10&amp;")"</f>
        <v xml:space="preserve"> (25)</v>
      </c>
      <c r="J29" s="270"/>
      <c r="K29" s="269" t="str">
        <f>" ("&amp;Calves!E6&amp;")"</f>
        <v xml:space="preserve"> (0)</v>
      </c>
      <c r="L29" s="270"/>
      <c r="M29" s="269" t="str">
        <f>" ("&amp;Calves!G6&amp;")"</f>
        <v xml:space="preserve"> (0)</v>
      </c>
      <c r="N29" s="270"/>
      <c r="O29" s="269" t="str">
        <f>" ("&amp;Calves!I6&amp;")"</f>
        <v xml:space="preserve"> (0)</v>
      </c>
      <c r="P29" s="270"/>
      <c r="Q29" s="269" t="str">
        <f>" ("&amp;Calves!K6&amp;")"</f>
        <v xml:space="preserve"> (-3.10862446895044E-15)</v>
      </c>
      <c r="R29" s="270"/>
    </row>
    <row r="30" spans="2:18" ht="18">
      <c r="B30" s="123" t="str">
        <f>E21</f>
        <v>Native</v>
      </c>
      <c r="C30" s="124"/>
      <c r="D30" s="125"/>
      <c r="E30" s="272"/>
      <c r="F30" s="272"/>
      <c r="G30" s="272"/>
      <c r="H30" s="272"/>
      <c r="I30" s="280"/>
      <c r="J30" s="280"/>
      <c r="K30" s="272"/>
      <c r="L30" s="272"/>
      <c r="M30" s="272"/>
      <c r="N30" s="272"/>
      <c r="O30" s="272"/>
      <c r="P30" s="272"/>
      <c r="Q30" s="272"/>
      <c r="R30" s="272"/>
    </row>
    <row r="31" spans="2:18" ht="18">
      <c r="B31" s="123" t="str">
        <f>G21</f>
        <v>Bermuda</v>
      </c>
      <c r="C31" s="124"/>
      <c r="D31" s="125"/>
      <c r="E31" s="272"/>
      <c r="F31" s="272"/>
      <c r="G31" s="272"/>
      <c r="H31" s="272"/>
      <c r="I31" s="280"/>
      <c r="J31" s="280"/>
      <c r="K31" s="272"/>
      <c r="L31" s="272"/>
      <c r="M31" s="272"/>
      <c r="N31" s="272"/>
      <c r="O31" s="272"/>
      <c r="P31" s="272"/>
      <c r="Q31" s="272"/>
      <c r="R31" s="272"/>
    </row>
    <row r="32" spans="2:18" ht="18">
      <c r="B32" s="123" t="str">
        <f>I21</f>
        <v>Wheat</v>
      </c>
      <c r="C32" s="124"/>
      <c r="D32" s="125"/>
      <c r="E32" s="272"/>
      <c r="F32" s="272"/>
      <c r="G32" s="272"/>
      <c r="H32" s="272"/>
      <c r="I32" s="280"/>
      <c r="J32" s="280"/>
      <c r="K32" s="272"/>
      <c r="L32" s="272"/>
      <c r="M32" s="272"/>
      <c r="N32" s="272"/>
      <c r="O32" s="272"/>
      <c r="P32" s="272"/>
      <c r="Q32" s="272"/>
      <c r="R32" s="272"/>
    </row>
    <row r="33" spans="2:18" ht="18">
      <c r="B33" s="123" t="str">
        <f>K21</f>
        <v>Native- purch</v>
      </c>
      <c r="C33" s="124"/>
      <c r="D33" s="125"/>
      <c r="E33" s="272"/>
      <c r="F33" s="272"/>
      <c r="G33" s="272"/>
      <c r="H33" s="272"/>
      <c r="I33" s="280"/>
      <c r="J33" s="280"/>
      <c r="K33" s="272"/>
      <c r="L33" s="272"/>
      <c r="M33" s="272"/>
      <c r="N33" s="272"/>
      <c r="O33" s="272"/>
      <c r="P33" s="272"/>
      <c r="Q33" s="272"/>
      <c r="R33" s="272"/>
    </row>
    <row r="34" spans="2:18" ht="18">
      <c r="B34" s="123" t="str">
        <f>M21</f>
        <v>Fescue</v>
      </c>
      <c r="C34" s="124"/>
      <c r="D34" s="125"/>
      <c r="E34" s="272"/>
      <c r="F34" s="272"/>
      <c r="G34" s="272"/>
      <c r="H34" s="272"/>
      <c r="I34" s="280"/>
      <c r="J34" s="280"/>
      <c r="K34" s="272"/>
      <c r="L34" s="272"/>
      <c r="M34" s="272"/>
      <c r="N34" s="272"/>
      <c r="O34" s="272"/>
      <c r="P34" s="272"/>
      <c r="Q34" s="272"/>
      <c r="R34" s="272"/>
    </row>
    <row r="35" spans="2:18" ht="18.75" customHeight="1">
      <c r="B35" s="308" t="s">
        <v>50</v>
      </c>
      <c r="C35" s="309"/>
      <c r="D35" s="310"/>
      <c r="E35" s="265">
        <f>'Cows, heifers, &amp; bulls'!E12+'Cows, heifers, &amp; bulls'!E10-SUM(E30:F34)</f>
        <v>80</v>
      </c>
      <c r="F35" s="266"/>
      <c r="G35" s="265">
        <f>'Cows, heifers, &amp; bulls'!G12+'Cows, heifers, &amp; bulls'!G10-SUM(G30:H34)</f>
        <v>20</v>
      </c>
      <c r="H35" s="266"/>
      <c r="I35" s="265">
        <f>'Cows, heifers, &amp; bulls'!I12+'Cows, heifers, &amp; bulls'!I10-SUM(I30:J34)</f>
        <v>25</v>
      </c>
      <c r="J35" s="266"/>
      <c r="K35" s="265">
        <f>Calves!E6-SUM(K30:L34)</f>
        <v>0</v>
      </c>
      <c r="L35" s="266"/>
      <c r="M35" s="265">
        <f>Calves!G6-SUM(M30:N34)</f>
        <v>0</v>
      </c>
      <c r="N35" s="266"/>
      <c r="O35" s="265">
        <f>Calves!I6-SUM(O30:P34)</f>
        <v>0</v>
      </c>
      <c r="P35" s="266"/>
      <c r="Q35" s="265">
        <f>Calves!K6-SUM(Q30:R34)</f>
        <v>-3.108624468950437E-15</v>
      </c>
      <c r="R35" s="266"/>
    </row>
    <row r="36" ht="15" customHeight="1"/>
    <row r="38" spans="2:20" ht="15" customHeight="1">
      <c r="B38" s="86" t="s">
        <v>305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 ht="15" customHeight="1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 ht="22.5" customHeight="1">
      <c r="B40" s="267" t="s">
        <v>48</v>
      </c>
      <c r="C40" s="268"/>
      <c r="D40" s="311" t="s">
        <v>47</v>
      </c>
      <c r="E40" s="267" t="str">
        <f>'Cows, heifers, &amp; bulls'!E9:F9</f>
        <v>Mature cows</v>
      </c>
      <c r="F40" s="268"/>
      <c r="G40" s="267" t="str">
        <f>'Cows, heifers, &amp; bulls'!G9:H9</f>
        <v>1st Calf heifers</v>
      </c>
      <c r="H40" s="268"/>
      <c r="I40" s="267" t="str">
        <f>'Cows, heifers, &amp; bulls'!I9:J9</f>
        <v>Yearling heifers</v>
      </c>
      <c r="J40" s="268"/>
      <c r="K40" s="267" t="str">
        <f>"Purchased "&amp;Calves!E5</f>
        <v>Purchased Stocker 1</v>
      </c>
      <c r="L40" s="268"/>
      <c r="M40" s="267" t="str">
        <f>"Purchased "&amp;Calves!G5</f>
        <v>Purchased Stocker 2</v>
      </c>
      <c r="N40" s="268"/>
      <c r="O40" s="267" t="str">
        <f>"Retained "&amp;Calves!I5</f>
        <v>Retained stocker steers</v>
      </c>
      <c r="P40" s="268"/>
      <c r="Q40" s="267" t="str">
        <f>"Retained "&amp;Calves!K5</f>
        <v>Retained stocker heifers</v>
      </c>
      <c r="R40" s="268"/>
      <c r="S40" s="302" t="s">
        <v>49</v>
      </c>
      <c r="T40" s="303"/>
    </row>
    <row r="41" spans="2:20" ht="33" customHeight="1">
      <c r="B41" s="269"/>
      <c r="C41" s="270"/>
      <c r="D41" s="312"/>
      <c r="E41" s="269"/>
      <c r="F41" s="270"/>
      <c r="G41" s="269"/>
      <c r="H41" s="270"/>
      <c r="I41" s="269"/>
      <c r="J41" s="270"/>
      <c r="K41" s="269"/>
      <c r="L41" s="270"/>
      <c r="M41" s="269"/>
      <c r="N41" s="270"/>
      <c r="O41" s="269"/>
      <c r="P41" s="270"/>
      <c r="Q41" s="269"/>
      <c r="R41" s="270"/>
      <c r="S41" s="304"/>
      <c r="T41" s="305"/>
    </row>
    <row r="42" spans="2:20" ht="18">
      <c r="B42" s="100" t="str">
        <f>B30</f>
        <v>Native</v>
      </c>
      <c r="C42" s="100"/>
      <c r="D42" s="18">
        <f>E22+E5</f>
        <v>1000</v>
      </c>
      <c r="E42" s="272"/>
      <c r="F42" s="272"/>
      <c r="G42" s="272"/>
      <c r="H42" s="272"/>
      <c r="I42" s="280"/>
      <c r="J42" s="280"/>
      <c r="K42" s="272"/>
      <c r="L42" s="272"/>
      <c r="M42" s="272"/>
      <c r="N42" s="272"/>
      <c r="O42" s="272"/>
      <c r="P42" s="272"/>
      <c r="Q42" s="272"/>
      <c r="R42" s="272"/>
      <c r="S42" s="293">
        <f>D42-SUMPRODUCT(E42:Q42,E30:Q30)</f>
        <v>1000</v>
      </c>
      <c r="T42" s="266"/>
    </row>
    <row r="43" spans="2:20" ht="18">
      <c r="B43" s="100" t="str">
        <f>B31</f>
        <v>Bermuda</v>
      </c>
      <c r="C43" s="100"/>
      <c r="D43" s="18">
        <f>G22+G5</f>
        <v>200</v>
      </c>
      <c r="E43" s="272"/>
      <c r="F43" s="272"/>
      <c r="G43" s="272"/>
      <c r="H43" s="272"/>
      <c r="I43" s="280"/>
      <c r="J43" s="280"/>
      <c r="K43" s="272"/>
      <c r="L43" s="272"/>
      <c r="M43" s="272"/>
      <c r="N43" s="272"/>
      <c r="O43" s="272"/>
      <c r="P43" s="272"/>
      <c r="Q43" s="272"/>
      <c r="R43" s="272"/>
      <c r="S43" s="293">
        <f>D43-SUMPRODUCT(E43:Q43,E31:Q31)</f>
        <v>200</v>
      </c>
      <c r="T43" s="266"/>
    </row>
    <row r="44" spans="2:20" ht="18">
      <c r="B44" s="100" t="str">
        <f>B32</f>
        <v>Wheat</v>
      </c>
      <c r="C44" s="100"/>
      <c r="D44" s="19">
        <f>I22+I5</f>
        <v>0</v>
      </c>
      <c r="E44" s="272"/>
      <c r="F44" s="272"/>
      <c r="G44" s="272"/>
      <c r="H44" s="272"/>
      <c r="I44" s="280"/>
      <c r="J44" s="280"/>
      <c r="K44" s="272"/>
      <c r="L44" s="272"/>
      <c r="M44" s="272"/>
      <c r="N44" s="272"/>
      <c r="O44" s="272"/>
      <c r="P44" s="272"/>
      <c r="Q44" s="272"/>
      <c r="R44" s="272"/>
      <c r="S44" s="293">
        <f>D44-SUMPRODUCT(E44:Q44,E32:Q32)</f>
        <v>0</v>
      </c>
      <c r="T44" s="266"/>
    </row>
    <row r="45" spans="2:20" ht="18">
      <c r="B45" s="100" t="str">
        <f>B33</f>
        <v>Native- purch</v>
      </c>
      <c r="C45" s="100"/>
      <c r="D45" s="18">
        <f>K22+K5</f>
        <v>0</v>
      </c>
      <c r="E45" s="272"/>
      <c r="F45" s="272"/>
      <c r="G45" s="272"/>
      <c r="H45" s="272"/>
      <c r="I45" s="280"/>
      <c r="J45" s="280"/>
      <c r="K45" s="272"/>
      <c r="L45" s="272"/>
      <c r="M45" s="272"/>
      <c r="N45" s="272"/>
      <c r="O45" s="272"/>
      <c r="P45" s="272"/>
      <c r="Q45" s="272"/>
      <c r="R45" s="272"/>
      <c r="S45" s="293">
        <f>D45-SUMPRODUCT(E45:Q45,E33:Q33)</f>
        <v>0</v>
      </c>
      <c r="T45" s="266"/>
    </row>
    <row r="46" spans="2:20" ht="18">
      <c r="B46" s="100" t="str">
        <f>B34</f>
        <v>Fescue</v>
      </c>
      <c r="C46" s="100"/>
      <c r="D46" s="18">
        <f>M22+M5</f>
        <v>0</v>
      </c>
      <c r="E46" s="272"/>
      <c r="F46" s="272"/>
      <c r="G46" s="272"/>
      <c r="H46" s="272"/>
      <c r="I46" s="280"/>
      <c r="J46" s="280"/>
      <c r="K46" s="272"/>
      <c r="L46" s="272"/>
      <c r="M46" s="272"/>
      <c r="N46" s="272"/>
      <c r="O46" s="272"/>
      <c r="P46" s="272"/>
      <c r="Q46" s="272"/>
      <c r="R46" s="272"/>
      <c r="S46" s="293">
        <f>D46-SUMPRODUCT(E46:Q46,E34:Q34)</f>
        <v>0</v>
      </c>
      <c r="T46" s="266"/>
    </row>
    <row r="48" spans="2:18" ht="15" customHeight="1">
      <c r="B48" s="86" t="s">
        <v>170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2:18" ht="15" customHeight="1">
      <c r="B49" s="86"/>
      <c r="C49" s="86"/>
      <c r="D49" s="86"/>
      <c r="E49" s="86"/>
      <c r="F49" s="86"/>
      <c r="G49" s="301"/>
      <c r="H49" s="301"/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2:18" ht="21" customHeight="1">
      <c r="B50" s="183" t="s">
        <v>51</v>
      </c>
      <c r="C50" s="184"/>
      <c r="D50" s="274" t="s">
        <v>7</v>
      </c>
      <c r="E50" s="229" t="str">
        <f>IF(E42&gt;0,E4,"")</f>
        <v/>
      </c>
      <c r="F50" s="300"/>
      <c r="G50" s="229" t="str">
        <f>IF(G5&gt;0,G21,"")</f>
        <v>Bermuda</v>
      </c>
      <c r="H50" s="230"/>
      <c r="I50" s="278" t="str">
        <f>IF(I4&lt;&gt;"",I4&amp;" owned","")</f>
        <v>Wheat owned</v>
      </c>
      <c r="J50" s="274"/>
      <c r="K50" s="277" t="str">
        <f>IF(I21&lt;&gt;"",I21&amp;" rented","")</f>
        <v>Wheat rented</v>
      </c>
      <c r="L50" s="278"/>
      <c r="M50" s="274" t="str">
        <f>K21</f>
        <v>Native- purch</v>
      </c>
      <c r="N50" s="274"/>
      <c r="O50" s="274" t="str">
        <f>M21</f>
        <v>Fescue</v>
      </c>
      <c r="P50" s="277"/>
      <c r="Q50" s="276" t="s">
        <v>43</v>
      </c>
      <c r="R50" s="276"/>
    </row>
    <row r="51" spans="2:18" ht="21" customHeight="1">
      <c r="B51" s="298"/>
      <c r="C51" s="299"/>
      <c r="D51" s="251"/>
      <c r="E51" s="231" t="str">
        <f>"("&amp;D42&amp;" acres)"</f>
        <v>(1000 acres)</v>
      </c>
      <c r="F51" s="232"/>
      <c r="G51" s="231" t="str">
        <f>"("&amp;D43&amp;" acres)"</f>
        <v>(200 acres)</v>
      </c>
      <c r="H51" s="275"/>
      <c r="I51" s="231" t="str">
        <f>"("&amp;I5&amp;" acres)"</f>
        <v>(0 acres)</v>
      </c>
      <c r="J51" s="275"/>
      <c r="K51" s="231" t="str">
        <f>"("&amp;I22&amp;" acres)"</f>
        <v>(0 acres)</v>
      </c>
      <c r="L51" s="275"/>
      <c r="M51" s="231" t="str">
        <f>"("&amp;D45&amp;" acres)"</f>
        <v>(0 acres)</v>
      </c>
      <c r="N51" s="275"/>
      <c r="O51" s="231" t="str">
        <f>"("&amp;D46&amp;" acres)"</f>
        <v>(0 acres)</v>
      </c>
      <c r="P51" s="275"/>
      <c r="Q51" s="276"/>
      <c r="R51" s="276"/>
    </row>
    <row r="52" spans="2:18" ht="18">
      <c r="B52" s="100" t="s">
        <v>52</v>
      </c>
      <c r="C52" s="100"/>
      <c r="D52" s="5" t="s">
        <v>33</v>
      </c>
      <c r="E52" s="271">
        <v>0</v>
      </c>
      <c r="F52" s="271"/>
      <c r="G52" s="271">
        <v>60</v>
      </c>
      <c r="H52" s="271"/>
      <c r="I52" s="273">
        <v>13</v>
      </c>
      <c r="J52" s="273"/>
      <c r="K52" s="273">
        <v>13</v>
      </c>
      <c r="L52" s="273"/>
      <c r="M52" s="273">
        <v>0</v>
      </c>
      <c r="N52" s="273"/>
      <c r="O52" s="273">
        <v>60</v>
      </c>
      <c r="P52" s="273"/>
      <c r="Q52" s="104">
        <f>E52*$D$42+G52*$D$43+I52*$I$5+K52*$I$22+M52*$D$45+O52*$D$46</f>
        <v>12000</v>
      </c>
      <c r="R52" s="104"/>
    </row>
    <row r="53" spans="2:18" ht="18">
      <c r="B53" s="100" t="s">
        <v>53</v>
      </c>
      <c r="C53" s="100"/>
      <c r="D53" s="5" t="s">
        <v>33</v>
      </c>
      <c r="E53" s="271"/>
      <c r="F53" s="271"/>
      <c r="G53" s="271">
        <v>0</v>
      </c>
      <c r="H53" s="271"/>
      <c r="I53" s="271"/>
      <c r="J53" s="271"/>
      <c r="K53" s="271"/>
      <c r="L53" s="271"/>
      <c r="M53" s="271"/>
      <c r="N53" s="271"/>
      <c r="O53" s="271"/>
      <c r="P53" s="271"/>
      <c r="Q53" s="104">
        <f aca="true" t="shared" si="0" ref="Q53:Q55">E53*$D$42+G53*$D$43+I53*$I$5+K53*$I$22+M53*$D$45+O53*$D$46</f>
        <v>0</v>
      </c>
      <c r="R53" s="104"/>
    </row>
    <row r="54" spans="2:18" ht="18">
      <c r="B54" s="100" t="s">
        <v>54</v>
      </c>
      <c r="C54" s="100"/>
      <c r="D54" s="5" t="s">
        <v>33</v>
      </c>
      <c r="E54" s="271"/>
      <c r="F54" s="271"/>
      <c r="G54" s="271">
        <v>0</v>
      </c>
      <c r="H54" s="271"/>
      <c r="I54" s="271">
        <v>8</v>
      </c>
      <c r="J54" s="271"/>
      <c r="K54" s="271">
        <v>8</v>
      </c>
      <c r="L54" s="271"/>
      <c r="M54" s="271"/>
      <c r="N54" s="271"/>
      <c r="O54" s="271"/>
      <c r="P54" s="271"/>
      <c r="Q54" s="104">
        <f t="shared" si="0"/>
        <v>0</v>
      </c>
      <c r="R54" s="104"/>
    </row>
    <row r="55" spans="2:18" ht="18">
      <c r="B55" s="100" t="s">
        <v>311</v>
      </c>
      <c r="C55" s="100"/>
      <c r="D55" s="5" t="s">
        <v>33</v>
      </c>
      <c r="E55" s="271">
        <v>4</v>
      </c>
      <c r="F55" s="271"/>
      <c r="G55" s="271">
        <v>4</v>
      </c>
      <c r="H55" s="271"/>
      <c r="I55" s="271"/>
      <c r="J55" s="271"/>
      <c r="K55" s="271"/>
      <c r="L55" s="271"/>
      <c r="M55" s="271">
        <v>4</v>
      </c>
      <c r="N55" s="271"/>
      <c r="O55" s="271">
        <v>4</v>
      </c>
      <c r="P55" s="271"/>
      <c r="Q55" s="104">
        <f t="shared" si="0"/>
        <v>4800</v>
      </c>
      <c r="R55" s="104"/>
    </row>
    <row r="56" spans="2:18" ht="18">
      <c r="B56" s="100" t="s">
        <v>55</v>
      </c>
      <c r="C56" s="100"/>
      <c r="D56" s="5" t="s">
        <v>33</v>
      </c>
      <c r="E56" s="104">
        <f>SUM(E52:F55)</f>
        <v>4</v>
      </c>
      <c r="F56" s="104"/>
      <c r="G56" s="104">
        <f>SUM(G52:H55)</f>
        <v>64</v>
      </c>
      <c r="H56" s="104"/>
      <c r="I56" s="104">
        <f>SUM(I52:J55)</f>
        <v>21</v>
      </c>
      <c r="J56" s="104"/>
      <c r="K56" s="104">
        <f>SUM(K52:L55)</f>
        <v>21</v>
      </c>
      <c r="L56" s="104"/>
      <c r="M56" s="104">
        <f>SUM(M52:N55)</f>
        <v>4</v>
      </c>
      <c r="N56" s="104"/>
      <c r="O56" s="104">
        <f>SUM(O52:P55)</f>
        <v>64</v>
      </c>
      <c r="P56" s="104"/>
      <c r="Q56" s="287" t="str">
        <f>"$"&amp;ROUND(Q57/SUM(D42:D46),2)&amp;" avg"</f>
        <v>$14 avg</v>
      </c>
      <c r="R56" s="287"/>
    </row>
    <row r="57" spans="2:18" ht="18">
      <c r="B57" s="100" t="s">
        <v>56</v>
      </c>
      <c r="C57" s="100"/>
      <c r="D57" s="5" t="s">
        <v>16</v>
      </c>
      <c r="E57" s="104">
        <f>E56*D42</f>
        <v>4000</v>
      </c>
      <c r="F57" s="104"/>
      <c r="G57" s="104">
        <f>G56*D43</f>
        <v>12800</v>
      </c>
      <c r="H57" s="104"/>
      <c r="I57" s="104">
        <f>I56*I5</f>
        <v>0</v>
      </c>
      <c r="J57" s="104"/>
      <c r="K57" s="104">
        <f>K56*I22</f>
        <v>0</v>
      </c>
      <c r="L57" s="104"/>
      <c r="M57" s="104">
        <f>M56*D45</f>
        <v>0</v>
      </c>
      <c r="N57" s="104"/>
      <c r="O57" s="104">
        <f>O56*D46</f>
        <v>0</v>
      </c>
      <c r="P57" s="104"/>
      <c r="Q57" s="104">
        <f>SUM(E57:P57)</f>
        <v>16800</v>
      </c>
      <c r="R57" s="104"/>
    </row>
    <row r="59" spans="2:16" ht="15" customHeight="1">
      <c r="B59" s="86" t="s">
        <v>296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 ht="15" customHeight="1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 ht="18">
      <c r="B61" s="316" t="s">
        <v>292</v>
      </c>
      <c r="C61" s="316"/>
      <c r="D61" s="316"/>
      <c r="E61" s="277" t="str">
        <f>E50</f>
        <v/>
      </c>
      <c r="F61" s="318"/>
      <c r="G61" s="277" t="str">
        <f aca="true" t="shared" si="1" ref="G61">G50</f>
        <v>Bermuda</v>
      </c>
      <c r="H61" s="318"/>
      <c r="I61" s="277" t="str">
        <f aca="true" t="shared" si="2" ref="I61">I50</f>
        <v>Wheat owned</v>
      </c>
      <c r="J61" s="318"/>
      <c r="K61" s="277" t="str">
        <f aca="true" t="shared" si="3" ref="K61">K50</f>
        <v>Wheat rented</v>
      </c>
      <c r="L61" s="318"/>
      <c r="M61" s="277" t="str">
        <f aca="true" t="shared" si="4" ref="M61">M50</f>
        <v>Native- purch</v>
      </c>
      <c r="N61" s="318"/>
      <c r="O61" s="277" t="str">
        <f aca="true" t="shared" si="5" ref="O61">O50</f>
        <v>Fescue</v>
      </c>
      <c r="P61" s="278"/>
    </row>
    <row r="62" spans="2:16" ht="18">
      <c r="B62" s="316"/>
      <c r="C62" s="316"/>
      <c r="D62" s="316"/>
      <c r="E62" s="313" t="str">
        <f>E51</f>
        <v>(1000 acres)</v>
      </c>
      <c r="F62" s="314"/>
      <c r="G62" s="313" t="str">
        <f aca="true" t="shared" si="6" ref="G62">G51</f>
        <v>(200 acres)</v>
      </c>
      <c r="H62" s="314"/>
      <c r="I62" s="313" t="str">
        <f aca="true" t="shared" si="7" ref="I62">I51</f>
        <v>(0 acres)</v>
      </c>
      <c r="J62" s="314"/>
      <c r="K62" s="313" t="str">
        <f aca="true" t="shared" si="8" ref="K62">K51</f>
        <v>(0 acres)</v>
      </c>
      <c r="L62" s="314"/>
      <c r="M62" s="313" t="str">
        <f aca="true" t="shared" si="9" ref="M62">M51</f>
        <v>(0 acres)</v>
      </c>
      <c r="N62" s="314"/>
      <c r="O62" s="313" t="str">
        <f aca="true" t="shared" si="10" ref="O62">O51</f>
        <v>(0 acres)</v>
      </c>
      <c r="P62" s="315"/>
    </row>
    <row r="63" spans="2:16" ht="18">
      <c r="B63" s="316" t="s">
        <v>293</v>
      </c>
      <c r="C63" s="316"/>
      <c r="D63" s="316"/>
      <c r="E63" s="317">
        <v>1</v>
      </c>
      <c r="F63" s="317"/>
      <c r="G63" s="317">
        <v>1</v>
      </c>
      <c r="H63" s="317"/>
      <c r="I63" s="317">
        <v>0</v>
      </c>
      <c r="J63" s="317"/>
      <c r="K63" s="317">
        <v>0</v>
      </c>
      <c r="L63" s="317"/>
      <c r="M63" s="317">
        <v>1</v>
      </c>
      <c r="N63" s="317"/>
      <c r="O63" s="317">
        <v>0</v>
      </c>
      <c r="P63" s="317"/>
    </row>
    <row r="64" spans="2:16" ht="18">
      <c r="B64" s="316" t="s">
        <v>294</v>
      </c>
      <c r="C64" s="316"/>
      <c r="D64" s="316"/>
      <c r="E64" s="317">
        <v>0</v>
      </c>
      <c r="F64" s="317"/>
      <c r="G64" s="317">
        <v>0</v>
      </c>
      <c r="H64" s="317"/>
      <c r="I64" s="317">
        <v>1</v>
      </c>
      <c r="J64" s="317"/>
      <c r="K64" s="317">
        <v>1</v>
      </c>
      <c r="L64" s="317"/>
      <c r="M64" s="317">
        <v>0</v>
      </c>
      <c r="N64" s="317"/>
      <c r="O64" s="317">
        <v>0</v>
      </c>
      <c r="P64" s="317"/>
    </row>
    <row r="65" spans="2:16" ht="18">
      <c r="B65" s="316" t="s">
        <v>295</v>
      </c>
      <c r="C65" s="316"/>
      <c r="D65" s="316"/>
      <c r="E65" s="320">
        <f>1-SUM(E63:F64)</f>
        <v>0</v>
      </c>
      <c r="F65" s="320"/>
      <c r="G65" s="320">
        <f aca="true" t="shared" si="11" ref="G65">1-SUM(G63:H64)</f>
        <v>0</v>
      </c>
      <c r="H65" s="320"/>
      <c r="I65" s="320">
        <f aca="true" t="shared" si="12" ref="I65">1-SUM(I63:J64)</f>
        <v>0</v>
      </c>
      <c r="J65" s="320"/>
      <c r="K65" s="320">
        <f aca="true" t="shared" si="13" ref="K65">1-SUM(K63:L64)</f>
        <v>0</v>
      </c>
      <c r="L65" s="320"/>
      <c r="M65" s="320">
        <f aca="true" t="shared" si="14" ref="M65">1-SUM(M63:N64)</f>
        <v>0</v>
      </c>
      <c r="N65" s="320"/>
      <c r="O65" s="320">
        <f aca="true" t="shared" si="15" ref="O65">1-SUM(O63:P64)</f>
        <v>1</v>
      </c>
      <c r="P65" s="320"/>
    </row>
    <row r="66" spans="2:16" ht="18">
      <c r="B66" s="319" t="s">
        <v>22</v>
      </c>
      <c r="C66" s="319"/>
      <c r="D66" s="319"/>
      <c r="E66" s="320">
        <f>SUM(E63:F65)</f>
        <v>1</v>
      </c>
      <c r="F66" s="320"/>
      <c r="G66" s="320">
        <f aca="true" t="shared" si="16" ref="G66">SUM(G63:H65)</f>
        <v>1</v>
      </c>
      <c r="H66" s="320"/>
      <c r="I66" s="320">
        <f aca="true" t="shared" si="17" ref="I66">SUM(I63:J65)</f>
        <v>1</v>
      </c>
      <c r="J66" s="320"/>
      <c r="K66" s="320">
        <f aca="true" t="shared" si="18" ref="K66">SUM(K63:L65)</f>
        <v>1</v>
      </c>
      <c r="L66" s="320"/>
      <c r="M66" s="320">
        <f aca="true" t="shared" si="19" ref="M66">SUM(M63:N65)</f>
        <v>1</v>
      </c>
      <c r="N66" s="320"/>
      <c r="O66" s="320">
        <f aca="true" t="shared" si="20" ref="O66">SUM(O63:P65)</f>
        <v>1</v>
      </c>
      <c r="P66" s="320"/>
    </row>
  </sheetData>
  <mergeCells count="354">
    <mergeCell ref="B66:D66"/>
    <mergeCell ref="E66:F66"/>
    <mergeCell ref="G66:H66"/>
    <mergeCell ref="I66:J66"/>
    <mergeCell ref="K66:L66"/>
    <mergeCell ref="M66:N66"/>
    <mergeCell ref="O66:P66"/>
    <mergeCell ref="B65:D65"/>
    <mergeCell ref="E65:F65"/>
    <mergeCell ref="G65:H65"/>
    <mergeCell ref="I65:J65"/>
    <mergeCell ref="K65:L65"/>
    <mergeCell ref="M65:N65"/>
    <mergeCell ref="O65:P65"/>
    <mergeCell ref="B64:D64"/>
    <mergeCell ref="E64:F64"/>
    <mergeCell ref="G64:H64"/>
    <mergeCell ref="I64:J64"/>
    <mergeCell ref="K64:L64"/>
    <mergeCell ref="M64:N64"/>
    <mergeCell ref="O64:P64"/>
    <mergeCell ref="B59:P60"/>
    <mergeCell ref="B61:D62"/>
    <mergeCell ref="B63:D63"/>
    <mergeCell ref="E63:F63"/>
    <mergeCell ref="G63:H63"/>
    <mergeCell ref="I63:J63"/>
    <mergeCell ref="K63:L63"/>
    <mergeCell ref="M63:N63"/>
    <mergeCell ref="O63:P63"/>
    <mergeCell ref="E61:F61"/>
    <mergeCell ref="E62:F62"/>
    <mergeCell ref="G61:H61"/>
    <mergeCell ref="I61:J61"/>
    <mergeCell ref="K61:L61"/>
    <mergeCell ref="M61:N61"/>
    <mergeCell ref="O61:P61"/>
    <mergeCell ref="G62:H62"/>
    <mergeCell ref="I62:J62"/>
    <mergeCell ref="K62:L62"/>
    <mergeCell ref="M62:N62"/>
    <mergeCell ref="O62:P62"/>
    <mergeCell ref="G56:H56"/>
    <mergeCell ref="K56:L56"/>
    <mergeCell ref="M56:N56"/>
    <mergeCell ref="Q56:R56"/>
    <mergeCell ref="I56:J56"/>
    <mergeCell ref="I57:J57"/>
    <mergeCell ref="B53:C53"/>
    <mergeCell ref="E53:F53"/>
    <mergeCell ref="G53:H53"/>
    <mergeCell ref="K53:L53"/>
    <mergeCell ref="M53:N53"/>
    <mergeCell ref="Q53:R53"/>
    <mergeCell ref="O53:P53"/>
    <mergeCell ref="Q57:R57"/>
    <mergeCell ref="B55:C55"/>
    <mergeCell ref="E55:F55"/>
    <mergeCell ref="G55:H55"/>
    <mergeCell ref="K55:L55"/>
    <mergeCell ref="M55:N55"/>
    <mergeCell ref="Q55:R55"/>
    <mergeCell ref="B54:C54"/>
    <mergeCell ref="E54:F54"/>
    <mergeCell ref="G54:H54"/>
    <mergeCell ref="K54:L54"/>
    <mergeCell ref="M54:N54"/>
    <mergeCell ref="O54:P54"/>
    <mergeCell ref="O55:P55"/>
    <mergeCell ref="O56:P56"/>
    <mergeCell ref="O57:P57"/>
    <mergeCell ref="Q54:R54"/>
    <mergeCell ref="B57:C57"/>
    <mergeCell ref="E57:F57"/>
    <mergeCell ref="G57:H57"/>
    <mergeCell ref="K57:L57"/>
    <mergeCell ref="M57:N57"/>
    <mergeCell ref="B56:C56"/>
    <mergeCell ref="E56:F56"/>
    <mergeCell ref="S46:T46"/>
    <mergeCell ref="B35:D35"/>
    <mergeCell ref="G35:H35"/>
    <mergeCell ref="I35:J35"/>
    <mergeCell ref="K35:L35"/>
    <mergeCell ref="M35:N35"/>
    <mergeCell ref="S44:T44"/>
    <mergeCell ref="S45:T45"/>
    <mergeCell ref="E42:F42"/>
    <mergeCell ref="E35:F35"/>
    <mergeCell ref="G46:H46"/>
    <mergeCell ref="I46:J46"/>
    <mergeCell ref="K46:L46"/>
    <mergeCell ref="M46:N46"/>
    <mergeCell ref="D40:D41"/>
    <mergeCell ref="G42:H42"/>
    <mergeCell ref="I42:J42"/>
    <mergeCell ref="B40:C41"/>
    <mergeCell ref="E44:F44"/>
    <mergeCell ref="G43:H43"/>
    <mergeCell ref="E43:F43"/>
    <mergeCell ref="S40:T41"/>
    <mergeCell ref="I28:J28"/>
    <mergeCell ref="I29:J29"/>
    <mergeCell ref="K28:L28"/>
    <mergeCell ref="K29:L29"/>
    <mergeCell ref="M28:N28"/>
    <mergeCell ref="M29:N29"/>
    <mergeCell ref="B30:D30"/>
    <mergeCell ref="B31:D31"/>
    <mergeCell ref="B32:D32"/>
    <mergeCell ref="M31:N31"/>
    <mergeCell ref="E32:F32"/>
    <mergeCell ref="G32:H32"/>
    <mergeCell ref="I32:J32"/>
    <mergeCell ref="K32:L32"/>
    <mergeCell ref="K31:L31"/>
    <mergeCell ref="B28:C29"/>
    <mergeCell ref="E30:F30"/>
    <mergeCell ref="S42:T42"/>
    <mergeCell ref="S43:T43"/>
    <mergeCell ref="B52:C52"/>
    <mergeCell ref="E52:F52"/>
    <mergeCell ref="G30:H30"/>
    <mergeCell ref="I30:J30"/>
    <mergeCell ref="E28:F28"/>
    <mergeCell ref="E29:F29"/>
    <mergeCell ref="G28:H28"/>
    <mergeCell ref="G29:H29"/>
    <mergeCell ref="O50:P50"/>
    <mergeCell ref="O52:P52"/>
    <mergeCell ref="B46:C46"/>
    <mergeCell ref="G52:H52"/>
    <mergeCell ref="K52:L52"/>
    <mergeCell ref="E46:F46"/>
    <mergeCell ref="G45:H45"/>
    <mergeCell ref="I45:J45"/>
    <mergeCell ref="K45:L45"/>
    <mergeCell ref="M45:N45"/>
    <mergeCell ref="M52:N52"/>
    <mergeCell ref="B48:R49"/>
    <mergeCell ref="O28:P28"/>
    <mergeCell ref="O29:P29"/>
    <mergeCell ref="Q28:R28"/>
    <mergeCell ref="Q29:R29"/>
    <mergeCell ref="E51:F51"/>
    <mergeCell ref="G51:H51"/>
    <mergeCell ref="I51:J51"/>
    <mergeCell ref="B50:C51"/>
    <mergeCell ref="K30:L30"/>
    <mergeCell ref="M30:N30"/>
    <mergeCell ref="B33:D33"/>
    <mergeCell ref="B34:D34"/>
    <mergeCell ref="M33:N33"/>
    <mergeCell ref="E34:F34"/>
    <mergeCell ref="G34:H34"/>
    <mergeCell ref="I34:J34"/>
    <mergeCell ref="K34:L34"/>
    <mergeCell ref="M34:N34"/>
    <mergeCell ref="E33:F33"/>
    <mergeCell ref="G33:H33"/>
    <mergeCell ref="I33:J33"/>
    <mergeCell ref="K33:L33"/>
    <mergeCell ref="E50:F50"/>
    <mergeCell ref="G50:H50"/>
    <mergeCell ref="M50:N50"/>
    <mergeCell ref="I50:J50"/>
    <mergeCell ref="K42:L42"/>
    <mergeCell ref="B38:T39"/>
    <mergeCell ref="O24:P24"/>
    <mergeCell ref="B42:C42"/>
    <mergeCell ref="B43:C43"/>
    <mergeCell ref="B44:C44"/>
    <mergeCell ref="B45:C45"/>
    <mergeCell ref="I43:J43"/>
    <mergeCell ref="K43:L43"/>
    <mergeCell ref="M43:N43"/>
    <mergeCell ref="E45:F45"/>
    <mergeCell ref="G44:H44"/>
    <mergeCell ref="I44:J44"/>
    <mergeCell ref="K44:L44"/>
    <mergeCell ref="M44:N44"/>
    <mergeCell ref="B24:C24"/>
    <mergeCell ref="E24:F24"/>
    <mergeCell ref="G24:H24"/>
    <mergeCell ref="I24:J24"/>
    <mergeCell ref="K24:L24"/>
    <mergeCell ref="M42:N42"/>
    <mergeCell ref="M32:N32"/>
    <mergeCell ref="E31:F31"/>
    <mergeCell ref="G31:H31"/>
    <mergeCell ref="I31:J31"/>
    <mergeCell ref="E40:F41"/>
    <mergeCell ref="O22:P22"/>
    <mergeCell ref="B23:C23"/>
    <mergeCell ref="E23:F23"/>
    <mergeCell ref="G23:H23"/>
    <mergeCell ref="I23:J23"/>
    <mergeCell ref="K23:L23"/>
    <mergeCell ref="O23:P23"/>
    <mergeCell ref="B22:C22"/>
    <mergeCell ref="E22:F22"/>
    <mergeCell ref="G22:H22"/>
    <mergeCell ref="I22:J22"/>
    <mergeCell ref="K22:L22"/>
    <mergeCell ref="B21:C21"/>
    <mergeCell ref="E21:F21"/>
    <mergeCell ref="G21:H21"/>
    <mergeCell ref="I21:J21"/>
    <mergeCell ref="K21:L21"/>
    <mergeCell ref="O21:P21"/>
    <mergeCell ref="O14:P14"/>
    <mergeCell ref="O15:P15"/>
    <mergeCell ref="O16:P16"/>
    <mergeCell ref="O17:P17"/>
    <mergeCell ref="B16:C16"/>
    <mergeCell ref="E16:F16"/>
    <mergeCell ref="G16:H16"/>
    <mergeCell ref="I16:J16"/>
    <mergeCell ref="K16:L16"/>
    <mergeCell ref="B15:C15"/>
    <mergeCell ref="E15:F15"/>
    <mergeCell ref="G15:H15"/>
    <mergeCell ref="I15:J15"/>
    <mergeCell ref="K15:L15"/>
    <mergeCell ref="E14:F14"/>
    <mergeCell ref="G14:H14"/>
    <mergeCell ref="I14:J14"/>
    <mergeCell ref="M15:N15"/>
    <mergeCell ref="B4:C4"/>
    <mergeCell ref="E4:F4"/>
    <mergeCell ref="G4:H4"/>
    <mergeCell ref="I4:J4"/>
    <mergeCell ref="K4:L4"/>
    <mergeCell ref="B6:C6"/>
    <mergeCell ref="E6:F6"/>
    <mergeCell ref="G6:H6"/>
    <mergeCell ref="I6:J6"/>
    <mergeCell ref="K6:L6"/>
    <mergeCell ref="B5:C5"/>
    <mergeCell ref="E5:F5"/>
    <mergeCell ref="G5:H5"/>
    <mergeCell ref="I5:J5"/>
    <mergeCell ref="K5:L5"/>
    <mergeCell ref="O9:P9"/>
    <mergeCell ref="O10:P10"/>
    <mergeCell ref="O11:P11"/>
    <mergeCell ref="O12:P12"/>
    <mergeCell ref="O13:P13"/>
    <mergeCell ref="O4:P4"/>
    <mergeCell ref="O5:P5"/>
    <mergeCell ref="O6:P6"/>
    <mergeCell ref="O7:P7"/>
    <mergeCell ref="O8:P8"/>
    <mergeCell ref="B8:C8"/>
    <mergeCell ref="E8:F8"/>
    <mergeCell ref="G8:H8"/>
    <mergeCell ref="I8:J8"/>
    <mergeCell ref="K8:L8"/>
    <mergeCell ref="B7:C7"/>
    <mergeCell ref="E7:F7"/>
    <mergeCell ref="G7:H7"/>
    <mergeCell ref="I7:J7"/>
    <mergeCell ref="K7:L7"/>
    <mergeCell ref="B10:C10"/>
    <mergeCell ref="E10:F10"/>
    <mergeCell ref="G10:H10"/>
    <mergeCell ref="I10:J10"/>
    <mergeCell ref="K10:L10"/>
    <mergeCell ref="B9:C9"/>
    <mergeCell ref="E9:F9"/>
    <mergeCell ref="G9:H9"/>
    <mergeCell ref="I9:J9"/>
    <mergeCell ref="K9:L9"/>
    <mergeCell ref="M16:N16"/>
    <mergeCell ref="M17:N17"/>
    <mergeCell ref="B13:C13"/>
    <mergeCell ref="E13:F13"/>
    <mergeCell ref="G13:H13"/>
    <mergeCell ref="I13:J13"/>
    <mergeCell ref="K13:L13"/>
    <mergeCell ref="B11:C11"/>
    <mergeCell ref="E11:F11"/>
    <mergeCell ref="G11:H11"/>
    <mergeCell ref="I11:J11"/>
    <mergeCell ref="K11:L11"/>
    <mergeCell ref="E12:F12"/>
    <mergeCell ref="G12:H12"/>
    <mergeCell ref="I12:J12"/>
    <mergeCell ref="K12:L12"/>
    <mergeCell ref="B12:D12"/>
    <mergeCell ref="B2:P3"/>
    <mergeCell ref="M21:N21"/>
    <mergeCell ref="M22:N22"/>
    <mergeCell ref="M23:N23"/>
    <mergeCell ref="M24:N24"/>
    <mergeCell ref="B19:P20"/>
    <mergeCell ref="K14:L14"/>
    <mergeCell ref="B14:D14"/>
    <mergeCell ref="B17:C17"/>
    <mergeCell ref="E17:F17"/>
    <mergeCell ref="G17:H17"/>
    <mergeCell ref="I17:J17"/>
    <mergeCell ref="K17:L17"/>
    <mergeCell ref="M4:N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D50:D51"/>
    <mergeCell ref="K51:L51"/>
    <mergeCell ref="M51:N51"/>
    <mergeCell ref="O51:P51"/>
    <mergeCell ref="Q50:R51"/>
    <mergeCell ref="B26:R27"/>
    <mergeCell ref="O40:P41"/>
    <mergeCell ref="Q40:R41"/>
    <mergeCell ref="O42:P42"/>
    <mergeCell ref="Q42:R42"/>
    <mergeCell ref="O30:P30"/>
    <mergeCell ref="Q30:R30"/>
    <mergeCell ref="O31:P31"/>
    <mergeCell ref="Q31:R31"/>
    <mergeCell ref="O32:P32"/>
    <mergeCell ref="Q32:R32"/>
    <mergeCell ref="O33:P33"/>
    <mergeCell ref="Q33:R33"/>
    <mergeCell ref="G40:H41"/>
    <mergeCell ref="I40:J41"/>
    <mergeCell ref="K40:L41"/>
    <mergeCell ref="K50:L50"/>
    <mergeCell ref="O34:P34"/>
    <mergeCell ref="Q34:R34"/>
    <mergeCell ref="O35:P35"/>
    <mergeCell ref="Q35:R35"/>
    <mergeCell ref="M40:N41"/>
    <mergeCell ref="I53:J53"/>
    <mergeCell ref="I54:J54"/>
    <mergeCell ref="I55:J55"/>
    <mergeCell ref="O43:P43"/>
    <mergeCell ref="Q43:R43"/>
    <mergeCell ref="O44:P44"/>
    <mergeCell ref="Q44:R44"/>
    <mergeCell ref="O45:P45"/>
    <mergeCell ref="Q45:R45"/>
    <mergeCell ref="O46:P46"/>
    <mergeCell ref="Q46:R46"/>
    <mergeCell ref="Q52:R52"/>
    <mergeCell ref="I52:J52"/>
  </mergeCells>
  <dataValidations count="2" xWindow="449" yWindow="970">
    <dataValidation type="decimal" allowBlank="1" showInputMessage="1" showErrorMessage="1" prompt="Enter the percent of operating and annual ownership costs attributing to cow-calf and stocker enterprises. The balance of costs are attributed to crop production and other uses (e.g., hunting leases)." sqref="E63:P64">
      <formula1>0</formula1>
      <formula2>10000</formula2>
    </dataValidation>
    <dataValidation allowBlank="1" showInputMessage="1" showErrorMessage="1" prompt="Only enter the production expenses associated withbeef production, not those expenses attributed to grain production." sqref="I52:J55"/>
  </dataValidations>
  <printOptions/>
  <pageMargins left="0.7" right="0.7" top="0.75" bottom="0.75" header="0.3" footer="0.3"/>
  <pageSetup fitToHeight="1" fitToWidth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W84"/>
  <sheetViews>
    <sheetView workbookViewId="0" topLeftCell="A1"/>
  </sheetViews>
  <sheetFormatPr defaultColWidth="9.140625" defaultRowHeight="15"/>
  <cols>
    <col min="1" max="1" width="2.7109375" style="0" customWidth="1"/>
    <col min="2" max="2" width="17.00390625" style="0" customWidth="1"/>
    <col min="5" max="5" width="8.140625" style="0" customWidth="1"/>
    <col min="7" max="7" width="9.140625" style="0" customWidth="1"/>
    <col min="9" max="9" width="9.140625" style="0" customWidth="1"/>
    <col min="11" max="11" width="9.140625" style="0" customWidth="1"/>
    <col min="13" max="13" width="9.140625" style="0" customWidth="1"/>
    <col min="15" max="15" width="9.140625" style="0" customWidth="1"/>
    <col min="16" max="16" width="9.421875" style="0" customWidth="1"/>
  </cols>
  <sheetData>
    <row r="1" ht="7.5" customHeight="1">
      <c r="E1" s="9"/>
    </row>
    <row r="2" spans="2:21" ht="30" customHeight="1">
      <c r="B2" s="86" t="s">
        <v>173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2:21" ht="57" customHeight="1">
      <c r="B3" s="325"/>
      <c r="C3" s="326"/>
      <c r="D3" s="326"/>
      <c r="E3" s="327"/>
      <c r="F3" s="333" t="s">
        <v>0</v>
      </c>
      <c r="G3" s="334"/>
      <c r="H3" s="333" t="s">
        <v>1</v>
      </c>
      <c r="I3" s="334"/>
      <c r="J3" s="333" t="s">
        <v>187</v>
      </c>
      <c r="K3" s="334"/>
      <c r="L3" s="335" t="str">
        <f>Pastures!K40</f>
        <v>Purchased Stocker 1</v>
      </c>
      <c r="M3" s="344"/>
      <c r="N3" s="335" t="str">
        <f>Pastures!M40</f>
        <v>Purchased Stocker 2</v>
      </c>
      <c r="O3" s="344"/>
      <c r="P3" s="335" t="str">
        <f>Pastures!O40</f>
        <v>Retained stocker steers</v>
      </c>
      <c r="Q3" s="335"/>
      <c r="R3" s="331" t="str">
        <f>Pastures!Q40</f>
        <v>Retained stocker heifers</v>
      </c>
      <c r="S3" s="332"/>
      <c r="T3" s="331" t="s">
        <v>23</v>
      </c>
      <c r="U3" s="332"/>
    </row>
    <row r="4" spans="2:21" ht="19.5" customHeight="1">
      <c r="B4" s="328"/>
      <c r="C4" s="329"/>
      <c r="D4" s="329"/>
      <c r="E4" s="330"/>
      <c r="F4" s="321" t="str">
        <f>Pastures!E29</f>
        <v xml:space="preserve"> (80)</v>
      </c>
      <c r="G4" s="322"/>
      <c r="H4" s="321" t="str">
        <f>Pastures!G29</f>
        <v xml:space="preserve"> (20)</v>
      </c>
      <c r="I4" s="322"/>
      <c r="J4" s="321" t="str">
        <f>Pastures!I29</f>
        <v xml:space="preserve"> (25)</v>
      </c>
      <c r="K4" s="322"/>
      <c r="L4" s="321" t="str">
        <f>Pastures!K29</f>
        <v xml:space="preserve"> (0)</v>
      </c>
      <c r="M4" s="322"/>
      <c r="N4" s="321" t="str">
        <f>Pastures!M29</f>
        <v xml:space="preserve"> (0)</v>
      </c>
      <c r="O4" s="322"/>
      <c r="P4" s="321" t="str">
        <f>Pastures!O29</f>
        <v xml:space="preserve"> (0)</v>
      </c>
      <c r="Q4" s="322"/>
      <c r="R4" s="321" t="str">
        <f>Pastures!Q29</f>
        <v xml:space="preserve"> (-3.10862446895044E-15)</v>
      </c>
      <c r="S4" s="322"/>
      <c r="T4" s="323" t="str">
        <f>"("&amp;'Cows, heifers, &amp; bulls'!K10+'Cows, heifers, &amp; bulls'!K12&amp;")"</f>
        <v>(3)</v>
      </c>
      <c r="U4" s="324"/>
    </row>
    <row r="5" spans="2:21" ht="18.75" customHeight="1">
      <c r="B5" s="352" t="s">
        <v>57</v>
      </c>
      <c r="C5" s="353"/>
      <c r="D5" s="356" t="s">
        <v>7</v>
      </c>
      <c r="E5" s="12"/>
      <c r="F5" s="345" t="s">
        <v>59</v>
      </c>
      <c r="G5" s="347" t="s">
        <v>60</v>
      </c>
      <c r="H5" s="345" t="s">
        <v>59</v>
      </c>
      <c r="I5" s="358" t="s">
        <v>60</v>
      </c>
      <c r="J5" s="345" t="s">
        <v>59</v>
      </c>
      <c r="K5" s="358" t="s">
        <v>60</v>
      </c>
      <c r="L5" s="345" t="s">
        <v>59</v>
      </c>
      <c r="M5" s="358" t="s">
        <v>60</v>
      </c>
      <c r="N5" s="345" t="s">
        <v>59</v>
      </c>
      <c r="O5" s="362" t="s">
        <v>60</v>
      </c>
      <c r="P5" s="345" t="s">
        <v>59</v>
      </c>
      <c r="Q5" s="358" t="s">
        <v>60</v>
      </c>
      <c r="R5" s="345" t="s">
        <v>59</v>
      </c>
      <c r="S5" s="362" t="s">
        <v>60</v>
      </c>
      <c r="T5" s="345" t="s">
        <v>59</v>
      </c>
      <c r="U5" s="362" t="s">
        <v>60</v>
      </c>
    </row>
    <row r="6" spans="2:21" ht="23.25" customHeight="1">
      <c r="B6" s="354"/>
      <c r="C6" s="355"/>
      <c r="D6" s="357"/>
      <c r="E6" s="69" t="s">
        <v>58</v>
      </c>
      <c r="F6" s="346"/>
      <c r="G6" s="348"/>
      <c r="H6" s="346"/>
      <c r="I6" s="359"/>
      <c r="J6" s="346"/>
      <c r="K6" s="359"/>
      <c r="L6" s="346"/>
      <c r="M6" s="359"/>
      <c r="N6" s="346"/>
      <c r="O6" s="363"/>
      <c r="P6" s="346"/>
      <c r="Q6" s="359"/>
      <c r="R6" s="346"/>
      <c r="S6" s="363"/>
      <c r="T6" s="346"/>
      <c r="U6" s="363"/>
    </row>
    <row r="7" spans="2:21" ht="18">
      <c r="B7" s="349" t="s">
        <v>202</v>
      </c>
      <c r="C7" s="349"/>
      <c r="D7" s="56" t="s">
        <v>62</v>
      </c>
      <c r="E7" s="57">
        <v>390</v>
      </c>
      <c r="F7" s="58">
        <v>2</v>
      </c>
      <c r="G7" s="59">
        <v>60</v>
      </c>
      <c r="H7" s="58">
        <v>2</v>
      </c>
      <c r="I7" s="60">
        <v>60</v>
      </c>
      <c r="J7" s="61">
        <v>0</v>
      </c>
      <c r="K7" s="60">
        <v>0</v>
      </c>
      <c r="L7" s="58">
        <v>0</v>
      </c>
      <c r="M7" s="60">
        <v>0</v>
      </c>
      <c r="N7" s="58">
        <v>0</v>
      </c>
      <c r="O7" s="62">
        <v>0</v>
      </c>
      <c r="P7" s="58">
        <v>0</v>
      </c>
      <c r="Q7" s="60">
        <v>0</v>
      </c>
      <c r="R7" s="58">
        <v>0</v>
      </c>
      <c r="S7" s="62">
        <v>0</v>
      </c>
      <c r="T7" s="58">
        <v>0</v>
      </c>
      <c r="U7" s="62">
        <v>0</v>
      </c>
    </row>
    <row r="8" spans="2:21" ht="18">
      <c r="B8" s="349" t="s">
        <v>61</v>
      </c>
      <c r="C8" s="349"/>
      <c r="D8" s="56" t="s">
        <v>62</v>
      </c>
      <c r="E8" s="57">
        <v>266</v>
      </c>
      <c r="F8" s="58">
        <v>4</v>
      </c>
      <c r="G8" s="59">
        <v>60</v>
      </c>
      <c r="H8" s="58">
        <v>4</v>
      </c>
      <c r="I8" s="59">
        <v>60</v>
      </c>
      <c r="J8" s="63">
        <v>6</v>
      </c>
      <c r="K8" s="60">
        <v>120</v>
      </c>
      <c r="L8" s="58"/>
      <c r="M8" s="60">
        <v>0</v>
      </c>
      <c r="N8" s="58"/>
      <c r="O8" s="62"/>
      <c r="P8" s="58"/>
      <c r="Q8" s="60"/>
      <c r="R8" s="58"/>
      <c r="S8" s="62"/>
      <c r="T8" s="58"/>
      <c r="U8" s="62"/>
    </row>
    <row r="9" spans="2:21" ht="18">
      <c r="B9" s="349" t="s">
        <v>200</v>
      </c>
      <c r="C9" s="349"/>
      <c r="D9" s="56" t="s">
        <v>62</v>
      </c>
      <c r="E9" s="57">
        <v>65</v>
      </c>
      <c r="F9" s="58">
        <v>12</v>
      </c>
      <c r="G9" s="59">
        <v>120</v>
      </c>
      <c r="H9" s="58">
        <v>12</v>
      </c>
      <c r="I9" s="60">
        <v>120</v>
      </c>
      <c r="J9" s="64">
        <v>10</v>
      </c>
      <c r="K9" s="60">
        <v>120</v>
      </c>
      <c r="L9" s="58">
        <v>0</v>
      </c>
      <c r="M9" s="60">
        <v>135</v>
      </c>
      <c r="N9" s="58"/>
      <c r="O9" s="62">
        <v>135</v>
      </c>
      <c r="P9" s="58">
        <v>0</v>
      </c>
      <c r="Q9" s="60">
        <v>135</v>
      </c>
      <c r="R9" s="58">
        <v>0</v>
      </c>
      <c r="S9" s="62">
        <v>135</v>
      </c>
      <c r="T9" s="58">
        <v>18</v>
      </c>
      <c r="U9" s="62">
        <v>120</v>
      </c>
    </row>
    <row r="10" spans="2:21" ht="18">
      <c r="B10" s="349" t="s">
        <v>63</v>
      </c>
      <c r="C10" s="349"/>
      <c r="D10" s="71" t="s">
        <v>62</v>
      </c>
      <c r="E10" s="57">
        <v>75</v>
      </c>
      <c r="F10" s="58">
        <v>0</v>
      </c>
      <c r="G10" s="59">
        <v>40</v>
      </c>
      <c r="H10" s="58">
        <v>0</v>
      </c>
      <c r="I10" s="60">
        <v>120</v>
      </c>
      <c r="J10" s="58">
        <v>0</v>
      </c>
      <c r="K10" s="60">
        <v>120</v>
      </c>
      <c r="L10" s="58">
        <v>0</v>
      </c>
      <c r="M10" s="60">
        <v>0</v>
      </c>
      <c r="N10" s="58"/>
      <c r="O10" s="62"/>
      <c r="P10" s="58">
        <v>0</v>
      </c>
      <c r="Q10" s="60">
        <v>0</v>
      </c>
      <c r="R10" s="58"/>
      <c r="S10" s="62"/>
      <c r="T10" s="58">
        <v>0</v>
      </c>
      <c r="U10" s="62">
        <v>0</v>
      </c>
    </row>
    <row r="11" spans="2:21" ht="18">
      <c r="B11" s="349"/>
      <c r="C11" s="349"/>
      <c r="D11" s="56"/>
      <c r="E11" s="57"/>
      <c r="F11" s="58"/>
      <c r="G11" s="59"/>
      <c r="H11" s="58"/>
      <c r="I11" s="60"/>
      <c r="J11" s="58"/>
      <c r="K11" s="60"/>
      <c r="L11" s="58"/>
      <c r="M11" s="60"/>
      <c r="N11" s="58"/>
      <c r="O11" s="62"/>
      <c r="P11" s="58"/>
      <c r="Q11" s="60"/>
      <c r="R11" s="58"/>
      <c r="S11" s="62"/>
      <c r="T11" s="58"/>
      <c r="U11" s="62"/>
    </row>
    <row r="12" spans="2:21" ht="18">
      <c r="B12" s="349"/>
      <c r="C12" s="349"/>
      <c r="D12" s="56"/>
      <c r="E12" s="57"/>
      <c r="F12" s="58"/>
      <c r="G12" s="59"/>
      <c r="H12" s="58"/>
      <c r="I12" s="60"/>
      <c r="J12" s="58"/>
      <c r="K12" s="60"/>
      <c r="L12" s="58"/>
      <c r="M12" s="60"/>
      <c r="N12" s="58"/>
      <c r="O12" s="62"/>
      <c r="P12" s="58"/>
      <c r="Q12" s="60"/>
      <c r="R12" s="58"/>
      <c r="S12" s="62"/>
      <c r="T12" s="58"/>
      <c r="U12" s="62"/>
    </row>
    <row r="13" spans="2:21" ht="18">
      <c r="B13" s="349"/>
      <c r="C13" s="349"/>
      <c r="D13" s="67"/>
      <c r="E13" s="57"/>
      <c r="F13" s="58"/>
      <c r="G13" s="59"/>
      <c r="H13" s="58"/>
      <c r="I13" s="60"/>
      <c r="J13" s="58">
        <v>0</v>
      </c>
      <c r="K13" s="60">
        <v>0</v>
      </c>
      <c r="L13" s="58"/>
      <c r="M13" s="60"/>
      <c r="N13" s="58"/>
      <c r="O13" s="62"/>
      <c r="P13" s="58"/>
      <c r="Q13" s="60"/>
      <c r="R13" s="58"/>
      <c r="S13" s="62"/>
      <c r="T13" s="58"/>
      <c r="U13" s="62"/>
    </row>
    <row r="14" spans="2:21" ht="18">
      <c r="B14" s="349" t="s">
        <v>199</v>
      </c>
      <c r="C14" s="349"/>
      <c r="D14" s="56" t="s">
        <v>9</v>
      </c>
      <c r="E14" s="57">
        <v>0.054</v>
      </c>
      <c r="F14" s="58">
        <v>0.25</v>
      </c>
      <c r="G14" s="59">
        <v>365</v>
      </c>
      <c r="H14" s="58">
        <v>0.25</v>
      </c>
      <c r="I14" s="59">
        <v>365</v>
      </c>
      <c r="J14" s="58">
        <v>0.25</v>
      </c>
      <c r="K14" s="59">
        <v>365</v>
      </c>
      <c r="L14" s="58">
        <v>0.02</v>
      </c>
      <c r="M14" s="60">
        <v>135</v>
      </c>
      <c r="N14" s="58">
        <v>0.25</v>
      </c>
      <c r="O14" s="59">
        <v>135</v>
      </c>
      <c r="P14" s="58">
        <v>0.25</v>
      </c>
      <c r="Q14" s="59">
        <v>135</v>
      </c>
      <c r="R14" s="58">
        <v>0.25</v>
      </c>
      <c r="S14" s="59">
        <v>135</v>
      </c>
      <c r="T14" s="58">
        <v>0.25</v>
      </c>
      <c r="U14" s="65">
        <v>365</v>
      </c>
    </row>
    <row r="15" spans="2:21" ht="18">
      <c r="B15" s="319" t="s">
        <v>227</v>
      </c>
      <c r="C15" s="319"/>
      <c r="D15" s="319"/>
      <c r="E15" s="319"/>
      <c r="F15" s="338">
        <v>107.0475</v>
      </c>
      <c r="G15" s="338"/>
      <c r="H15" s="338">
        <v>107.0475</v>
      </c>
      <c r="I15" s="338"/>
      <c r="J15" s="338">
        <v>139.6875</v>
      </c>
      <c r="K15" s="338"/>
      <c r="L15" s="338">
        <v>0.1458</v>
      </c>
      <c r="M15" s="338"/>
      <c r="N15" s="338">
        <v>1.8225</v>
      </c>
      <c r="O15" s="338"/>
      <c r="P15" s="338">
        <v>1.8225</v>
      </c>
      <c r="Q15" s="338"/>
      <c r="R15" s="338">
        <v>1.8225</v>
      </c>
      <c r="S15" s="338"/>
      <c r="T15" s="338">
        <v>75.1275</v>
      </c>
      <c r="U15" s="338"/>
    </row>
    <row r="16" spans="2:23" ht="18">
      <c r="B16" s="319" t="s">
        <v>228</v>
      </c>
      <c r="C16" s="319"/>
      <c r="D16" s="319"/>
      <c r="E16" s="319"/>
      <c r="F16" s="338">
        <v>8563.8</v>
      </c>
      <c r="G16" s="338"/>
      <c r="H16" s="338">
        <v>2140.95</v>
      </c>
      <c r="I16" s="338"/>
      <c r="J16" s="338">
        <v>3492.1875</v>
      </c>
      <c r="K16" s="338"/>
      <c r="L16" s="338">
        <v>0</v>
      </c>
      <c r="M16" s="338"/>
      <c r="N16" s="338">
        <v>0</v>
      </c>
      <c r="O16" s="338"/>
      <c r="P16" s="338">
        <v>0</v>
      </c>
      <c r="Q16" s="338"/>
      <c r="R16" s="338">
        <v>-5.6654680946621716E-15</v>
      </c>
      <c r="S16" s="338"/>
      <c r="T16" s="338">
        <v>225.3825</v>
      </c>
      <c r="U16" s="338"/>
      <c r="V16" s="342" t="s">
        <v>226</v>
      </c>
      <c r="W16" s="342"/>
    </row>
    <row r="17" spans="2:23" ht="36" customHeight="1">
      <c r="B17" s="319" t="s">
        <v>222</v>
      </c>
      <c r="C17" s="319"/>
      <c r="D17" s="319"/>
      <c r="E17" s="319"/>
      <c r="F17" s="336" t="s">
        <v>223</v>
      </c>
      <c r="G17" s="365"/>
      <c r="H17" s="365"/>
      <c r="I17" s="337"/>
      <c r="J17" s="338">
        <f>SUM(F16:K16)</f>
        <v>14196.9375</v>
      </c>
      <c r="K17" s="338"/>
      <c r="L17" s="360" t="s">
        <v>224</v>
      </c>
      <c r="M17" s="361"/>
      <c r="N17" s="338">
        <f>L16+N16</f>
        <v>0</v>
      </c>
      <c r="O17" s="338"/>
      <c r="P17" s="360" t="s">
        <v>225</v>
      </c>
      <c r="Q17" s="361"/>
      <c r="R17" s="338">
        <f>SUM(P16:S16)</f>
        <v>-5.6654680946621716E-15</v>
      </c>
      <c r="S17" s="338"/>
      <c r="T17" s="40" t="s">
        <v>23</v>
      </c>
      <c r="U17" s="41">
        <f>T16</f>
        <v>225.3825</v>
      </c>
      <c r="V17" s="343">
        <f>SUM(F16:T16)</f>
        <v>14422.32</v>
      </c>
      <c r="W17" s="342"/>
    </row>
    <row r="18" spans="2:15" ht="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21" ht="15" customHeight="1">
      <c r="B19" s="86" t="s">
        <v>172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2:21" ht="15" customHeight="1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2:21" ht="56.25" customHeight="1">
      <c r="B21" s="169" t="s">
        <v>65</v>
      </c>
      <c r="C21" s="169"/>
      <c r="D21" s="169"/>
      <c r="E21" s="14" t="s">
        <v>7</v>
      </c>
      <c r="F21" s="364" t="s">
        <v>0</v>
      </c>
      <c r="G21" s="364"/>
      <c r="H21" s="364" t="s">
        <v>186</v>
      </c>
      <c r="I21" s="364"/>
      <c r="J21" s="364" t="s">
        <v>2</v>
      </c>
      <c r="K21" s="364"/>
      <c r="L21" s="84" t="str">
        <f>L3</f>
        <v>Purchased Stocker 1</v>
      </c>
      <c r="M21" s="85"/>
      <c r="N21" s="84" t="str">
        <f>N3</f>
        <v>Purchased Stocker 2</v>
      </c>
      <c r="O21" s="85"/>
      <c r="P21" s="84" t="str">
        <f>P3</f>
        <v>Retained stocker steers</v>
      </c>
      <c r="Q21" s="85"/>
      <c r="R21" s="84" t="str">
        <f>R3</f>
        <v>Retained stocker heifers</v>
      </c>
      <c r="S21" s="85"/>
      <c r="T21" s="84" t="str">
        <f>T3</f>
        <v>Bulls</v>
      </c>
      <c r="U21" s="85"/>
    </row>
    <row r="22" spans="2:21" ht="18">
      <c r="B22" s="316" t="s">
        <v>66</v>
      </c>
      <c r="C22" s="316"/>
      <c r="D22" s="316"/>
      <c r="E22" s="37" t="s">
        <v>15</v>
      </c>
      <c r="F22" s="350">
        <v>4</v>
      </c>
      <c r="G22" s="351"/>
      <c r="H22" s="350">
        <v>4</v>
      </c>
      <c r="I22" s="351"/>
      <c r="J22" s="350">
        <v>3.5</v>
      </c>
      <c r="K22" s="351"/>
      <c r="L22" s="350"/>
      <c r="M22" s="351"/>
      <c r="N22" s="339">
        <v>0</v>
      </c>
      <c r="O22" s="339"/>
      <c r="P22" s="350"/>
      <c r="Q22" s="351"/>
      <c r="R22" s="339">
        <v>0</v>
      </c>
      <c r="S22" s="339"/>
      <c r="T22" s="339">
        <v>8</v>
      </c>
      <c r="U22" s="339"/>
    </row>
    <row r="23" spans="2:21" ht="18">
      <c r="B23" s="316" t="s">
        <v>67</v>
      </c>
      <c r="C23" s="316"/>
      <c r="D23" s="316"/>
      <c r="E23" s="37" t="s">
        <v>15</v>
      </c>
      <c r="F23" s="350">
        <v>4</v>
      </c>
      <c r="G23" s="351"/>
      <c r="H23" s="350">
        <v>4</v>
      </c>
      <c r="I23" s="351"/>
      <c r="J23" s="350">
        <v>4</v>
      </c>
      <c r="K23" s="351"/>
      <c r="L23" s="350"/>
      <c r="M23" s="351"/>
      <c r="N23" s="339"/>
      <c r="O23" s="339"/>
      <c r="P23" s="350"/>
      <c r="Q23" s="351"/>
      <c r="R23" s="339"/>
      <c r="S23" s="339"/>
      <c r="T23" s="339">
        <v>3</v>
      </c>
      <c r="U23" s="339"/>
    </row>
    <row r="24" spans="2:21" ht="18">
      <c r="B24" s="316" t="s">
        <v>68</v>
      </c>
      <c r="C24" s="316"/>
      <c r="D24" s="316"/>
      <c r="E24" s="37" t="s">
        <v>15</v>
      </c>
      <c r="F24" s="350">
        <v>8</v>
      </c>
      <c r="G24" s="351"/>
      <c r="H24" s="350">
        <v>5</v>
      </c>
      <c r="I24" s="351"/>
      <c r="J24" s="350">
        <v>5</v>
      </c>
      <c r="K24" s="351"/>
      <c r="L24" s="350"/>
      <c r="M24" s="351"/>
      <c r="N24" s="339"/>
      <c r="O24" s="339"/>
      <c r="P24" s="350"/>
      <c r="Q24" s="351"/>
      <c r="R24" s="339"/>
      <c r="S24" s="339"/>
      <c r="T24" s="339">
        <v>8</v>
      </c>
      <c r="U24" s="339"/>
    </row>
    <row r="25" spans="2:21" ht="18">
      <c r="B25" s="316" t="s">
        <v>69</v>
      </c>
      <c r="C25" s="316"/>
      <c r="D25" s="316"/>
      <c r="E25" s="37" t="s">
        <v>15</v>
      </c>
      <c r="F25" s="350">
        <v>6</v>
      </c>
      <c r="G25" s="351"/>
      <c r="H25" s="350">
        <v>6</v>
      </c>
      <c r="I25" s="351"/>
      <c r="J25" s="350">
        <v>6</v>
      </c>
      <c r="K25" s="351"/>
      <c r="L25" s="350"/>
      <c r="M25" s="351"/>
      <c r="N25" s="339"/>
      <c r="O25" s="339"/>
      <c r="P25" s="350"/>
      <c r="Q25" s="351"/>
      <c r="R25" s="339"/>
      <c r="S25" s="339"/>
      <c r="T25" s="339">
        <v>6</v>
      </c>
      <c r="U25" s="339"/>
    </row>
    <row r="26" spans="2:21" ht="18">
      <c r="B26" s="316" t="s">
        <v>70</v>
      </c>
      <c r="C26" s="316"/>
      <c r="D26" s="316"/>
      <c r="E26" s="37" t="s">
        <v>15</v>
      </c>
      <c r="F26" s="350"/>
      <c r="G26" s="351"/>
      <c r="H26" s="350"/>
      <c r="I26" s="351"/>
      <c r="J26" s="350"/>
      <c r="K26" s="351"/>
      <c r="L26" s="350"/>
      <c r="M26" s="351"/>
      <c r="N26" s="339"/>
      <c r="O26" s="339"/>
      <c r="P26" s="350"/>
      <c r="Q26" s="351"/>
      <c r="R26" s="339"/>
      <c r="S26" s="339"/>
      <c r="T26" s="339"/>
      <c r="U26" s="339"/>
    </row>
    <row r="27" spans="2:21" ht="18" hidden="1">
      <c r="B27" s="316" t="s">
        <v>201</v>
      </c>
      <c r="C27" s="316"/>
      <c r="D27" s="316"/>
      <c r="E27" s="37" t="s">
        <v>15</v>
      </c>
      <c r="F27" s="350"/>
      <c r="G27" s="351"/>
      <c r="H27" s="350"/>
      <c r="I27" s="351"/>
      <c r="J27" s="350"/>
      <c r="K27" s="351"/>
      <c r="L27" s="350"/>
      <c r="M27" s="351"/>
      <c r="N27" s="339"/>
      <c r="O27" s="339"/>
      <c r="P27" s="350"/>
      <c r="Q27" s="351"/>
      <c r="R27" s="339"/>
      <c r="S27" s="339"/>
      <c r="T27" s="339"/>
      <c r="U27" s="339"/>
    </row>
    <row r="28" spans="2:21" ht="18">
      <c r="B28" s="349" t="s">
        <v>214</v>
      </c>
      <c r="C28" s="349"/>
      <c r="D28" s="349"/>
      <c r="E28" s="37" t="s">
        <v>15</v>
      </c>
      <c r="F28" s="339" t="s">
        <v>203</v>
      </c>
      <c r="G28" s="339"/>
      <c r="H28" s="339" t="s">
        <v>203</v>
      </c>
      <c r="I28" s="339"/>
      <c r="J28" s="339"/>
      <c r="K28" s="339"/>
      <c r="L28" s="339">
        <v>0</v>
      </c>
      <c r="M28" s="339"/>
      <c r="N28" s="339"/>
      <c r="O28" s="339"/>
      <c r="P28" s="339"/>
      <c r="Q28" s="339"/>
      <c r="R28" s="339"/>
      <c r="S28" s="339"/>
      <c r="T28" s="339"/>
      <c r="U28" s="339"/>
    </row>
    <row r="29" spans="2:23" ht="18">
      <c r="B29" s="319" t="s">
        <v>71</v>
      </c>
      <c r="C29" s="319"/>
      <c r="D29" s="319"/>
      <c r="E29" s="13" t="s">
        <v>72</v>
      </c>
      <c r="F29" s="340">
        <f>SUM(F22:G28)</f>
        <v>22</v>
      </c>
      <c r="G29" s="341"/>
      <c r="H29" s="340">
        <f>SUM(H22:I28)</f>
        <v>19</v>
      </c>
      <c r="I29" s="341"/>
      <c r="J29" s="340">
        <f>SUM(J22:K28)</f>
        <v>18.5</v>
      </c>
      <c r="K29" s="341"/>
      <c r="L29" s="340">
        <f>SUM(L22:M28)</f>
        <v>0</v>
      </c>
      <c r="M29" s="341"/>
      <c r="N29" s="340">
        <f>SUM(N22:O28)</f>
        <v>0</v>
      </c>
      <c r="O29" s="341"/>
      <c r="P29" s="340">
        <f>SUM(P22:Q28)</f>
        <v>0</v>
      </c>
      <c r="Q29" s="341"/>
      <c r="R29" s="340">
        <f>SUM(R22:S28)</f>
        <v>0</v>
      </c>
      <c r="S29" s="341"/>
      <c r="T29" s="340">
        <f>SUM(T22:U28)</f>
        <v>25</v>
      </c>
      <c r="U29" s="341"/>
      <c r="V29" s="336" t="s">
        <v>244</v>
      </c>
      <c r="W29" s="337"/>
    </row>
    <row r="30" spans="2:23" ht="18">
      <c r="B30" s="319" t="s">
        <v>64</v>
      </c>
      <c r="C30" s="319"/>
      <c r="D30" s="319"/>
      <c r="E30" s="13" t="s">
        <v>72</v>
      </c>
      <c r="F30" s="338">
        <f>SUM(F22:G28)*('Cows, heifers, &amp; bulls'!E12+'Cows, heifers, &amp; bulls'!E10)</f>
        <v>1760</v>
      </c>
      <c r="G30" s="338"/>
      <c r="H30" s="338">
        <f>SUM(H22:I28)*('Cows, heifers, &amp; bulls'!G12+'Cows, heifers, &amp; bulls'!G10)</f>
        <v>380</v>
      </c>
      <c r="I30" s="338"/>
      <c r="J30" s="338">
        <f>SUM(J22:K28)*('Cows, heifers, &amp; bulls'!I12+'Cows, heifers, &amp; bulls'!I10)</f>
        <v>462.5</v>
      </c>
      <c r="K30" s="338"/>
      <c r="L30" s="338">
        <f>SUM(L22:M28)*Calves!E6</f>
        <v>0</v>
      </c>
      <c r="M30" s="338"/>
      <c r="N30" s="338">
        <f>SUM(N22:O28)*Calves!G6</f>
        <v>0</v>
      </c>
      <c r="O30" s="338"/>
      <c r="P30" s="338">
        <f>SUM(P22:Q28)*Calves!I6</f>
        <v>0</v>
      </c>
      <c r="Q30" s="338"/>
      <c r="R30" s="338">
        <f>SUM(R22:S28)*Calves!K6</f>
        <v>0</v>
      </c>
      <c r="S30" s="338"/>
      <c r="T30" s="338">
        <f>T29*('Cows, heifers, &amp; bulls'!K10+'Cows, heifers, &amp; bulls'!K12)</f>
        <v>75</v>
      </c>
      <c r="U30" s="338"/>
      <c r="V30" s="338">
        <f>SUM(F30:U30)</f>
        <v>2677.5</v>
      </c>
      <c r="W30" s="338"/>
    </row>
    <row r="31" spans="2:15" ht="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1" ht="15" customHeight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5" customHeight="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8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5" ht="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ht="18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ht="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8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8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8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8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8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8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8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8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8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8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8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8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8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8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8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ht="18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ht="18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ht="18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8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ht="18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ht="18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ht="18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8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ht="18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ht="18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2:15" ht="18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8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8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8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8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8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8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8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8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8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</sheetData>
  <mergeCells count="164">
    <mergeCell ref="T16:U16"/>
    <mergeCell ref="B30:D30"/>
    <mergeCell ref="H30:I30"/>
    <mergeCell ref="J30:K30"/>
    <mergeCell ref="L30:M30"/>
    <mergeCell ref="N30:O30"/>
    <mergeCell ref="F29:G29"/>
    <mergeCell ref="B29:D29"/>
    <mergeCell ref="F30:G30"/>
    <mergeCell ref="H29:I29"/>
    <mergeCell ref="J29:K29"/>
    <mergeCell ref="L29:M29"/>
    <mergeCell ref="N29:O29"/>
    <mergeCell ref="H27:I27"/>
    <mergeCell ref="J27:K27"/>
    <mergeCell ref="L27:M27"/>
    <mergeCell ref="B26:D26"/>
    <mergeCell ref="B27:D27"/>
    <mergeCell ref="B28:D28"/>
    <mergeCell ref="F25:G25"/>
    <mergeCell ref="F27:G27"/>
    <mergeCell ref="T30:U30"/>
    <mergeCell ref="N28:O28"/>
    <mergeCell ref="H25:I25"/>
    <mergeCell ref="B21:D21"/>
    <mergeCell ref="N15:O15"/>
    <mergeCell ref="J22:K22"/>
    <mergeCell ref="L22:M22"/>
    <mergeCell ref="N22:O22"/>
    <mergeCell ref="J23:K23"/>
    <mergeCell ref="B22:D22"/>
    <mergeCell ref="B23:D23"/>
    <mergeCell ref="H22:I22"/>
    <mergeCell ref="H23:I23"/>
    <mergeCell ref="L23:M23"/>
    <mergeCell ref="N23:O23"/>
    <mergeCell ref="F22:G22"/>
    <mergeCell ref="H16:I16"/>
    <mergeCell ref="J16:K16"/>
    <mergeCell ref="L16:M16"/>
    <mergeCell ref="N16:O16"/>
    <mergeCell ref="B16:E16"/>
    <mergeCell ref="B17:E17"/>
    <mergeCell ref="R21:S21"/>
    <mergeCell ref="P22:Q22"/>
    <mergeCell ref="N5:N6"/>
    <mergeCell ref="F23:G23"/>
    <mergeCell ref="F21:G21"/>
    <mergeCell ref="H21:I21"/>
    <mergeCell ref="J21:K21"/>
    <mergeCell ref="L21:M21"/>
    <mergeCell ref="N21:O21"/>
    <mergeCell ref="O5:O6"/>
    <mergeCell ref="J17:K17"/>
    <mergeCell ref="L17:M17"/>
    <mergeCell ref="N17:O17"/>
    <mergeCell ref="F17:I17"/>
    <mergeCell ref="I5:I6"/>
    <mergeCell ref="J5:J6"/>
    <mergeCell ref="P5:P6"/>
    <mergeCell ref="Q5:Q6"/>
    <mergeCell ref="R5:R6"/>
    <mergeCell ref="S5:S6"/>
    <mergeCell ref="P15:Q15"/>
    <mergeCell ref="R15:S15"/>
    <mergeCell ref="P16:Q16"/>
    <mergeCell ref="F24:G24"/>
    <mergeCell ref="H24:I24"/>
    <mergeCell ref="J24:K24"/>
    <mergeCell ref="L24:M24"/>
    <mergeCell ref="N24:O24"/>
    <mergeCell ref="B24:D24"/>
    <mergeCell ref="T15:U15"/>
    <mergeCell ref="B5:C6"/>
    <mergeCell ref="D5:D6"/>
    <mergeCell ref="K5:K6"/>
    <mergeCell ref="L5:L6"/>
    <mergeCell ref="M5:M6"/>
    <mergeCell ref="P24:Q24"/>
    <mergeCell ref="R24:S24"/>
    <mergeCell ref="R16:S16"/>
    <mergeCell ref="P17:Q17"/>
    <mergeCell ref="R17:S17"/>
    <mergeCell ref="R22:S22"/>
    <mergeCell ref="P23:Q23"/>
    <mergeCell ref="R23:S23"/>
    <mergeCell ref="B19:U20"/>
    <mergeCell ref="T5:T6"/>
    <mergeCell ref="U5:U6"/>
    <mergeCell ref="P21:Q21"/>
    <mergeCell ref="B25:D25"/>
    <mergeCell ref="N27:O27"/>
    <mergeCell ref="F28:G28"/>
    <mergeCell ref="H28:I28"/>
    <mergeCell ref="J28:K28"/>
    <mergeCell ref="J25:K25"/>
    <mergeCell ref="L25:M25"/>
    <mergeCell ref="N25:O25"/>
    <mergeCell ref="F26:G26"/>
    <mergeCell ref="H26:I26"/>
    <mergeCell ref="J26:K26"/>
    <mergeCell ref="L26:M26"/>
    <mergeCell ref="N26:O26"/>
    <mergeCell ref="L28:M28"/>
    <mergeCell ref="P30:Q30"/>
    <mergeCell ref="R30:S30"/>
    <mergeCell ref="P25:Q25"/>
    <mergeCell ref="R25:S25"/>
    <mergeCell ref="P26:Q26"/>
    <mergeCell ref="R26:S26"/>
    <mergeCell ref="P27:Q27"/>
    <mergeCell ref="R27:S27"/>
    <mergeCell ref="P28:Q28"/>
    <mergeCell ref="R28:S28"/>
    <mergeCell ref="P29:Q29"/>
    <mergeCell ref="R29:S29"/>
    <mergeCell ref="V16:W16"/>
    <mergeCell ref="V17:W17"/>
    <mergeCell ref="T21:U21"/>
    <mergeCell ref="J3:K3"/>
    <mergeCell ref="L3:M3"/>
    <mergeCell ref="B15:E15"/>
    <mergeCell ref="F15:G15"/>
    <mergeCell ref="H15:I15"/>
    <mergeCell ref="F16:G16"/>
    <mergeCell ref="J15:K15"/>
    <mergeCell ref="L15:M15"/>
    <mergeCell ref="N3:O3"/>
    <mergeCell ref="F5:F6"/>
    <mergeCell ref="G5:G6"/>
    <mergeCell ref="B14:C14"/>
    <mergeCell ref="B13:C13"/>
    <mergeCell ref="B12:C12"/>
    <mergeCell ref="B11:C11"/>
    <mergeCell ref="B10:C10"/>
    <mergeCell ref="B9:C9"/>
    <mergeCell ref="B8:C8"/>
    <mergeCell ref="B7:C7"/>
    <mergeCell ref="H5:H6"/>
    <mergeCell ref="R3:S3"/>
    <mergeCell ref="V29:W29"/>
    <mergeCell ref="V30:W30"/>
    <mergeCell ref="T22:U22"/>
    <mergeCell ref="T23:U23"/>
    <mergeCell ref="T24:U24"/>
    <mergeCell ref="T25:U25"/>
    <mergeCell ref="T26:U26"/>
    <mergeCell ref="T27:U27"/>
    <mergeCell ref="T28:U28"/>
    <mergeCell ref="T29:U29"/>
    <mergeCell ref="B2:U2"/>
    <mergeCell ref="F4:G4"/>
    <mergeCell ref="H4:I4"/>
    <mergeCell ref="J4:K4"/>
    <mergeCell ref="L4:M4"/>
    <mergeCell ref="N4:O4"/>
    <mergeCell ref="P4:Q4"/>
    <mergeCell ref="R4:S4"/>
    <mergeCell ref="T4:U4"/>
    <mergeCell ref="B3:E4"/>
    <mergeCell ref="T3:U3"/>
    <mergeCell ref="F3:G3"/>
    <mergeCell ref="H3:I3"/>
    <mergeCell ref="P3:Q3"/>
  </mergeCell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I14"/>
  <sheetViews>
    <sheetView workbookViewId="0" topLeftCell="A1"/>
  </sheetViews>
  <sheetFormatPr defaultColWidth="9.140625" defaultRowHeight="15"/>
  <cols>
    <col min="1" max="1" width="1.7109375" style="0" customWidth="1"/>
    <col min="6" max="7" width="9.7109375" style="0" customWidth="1"/>
    <col min="8" max="8" width="11.7109375" style="0" customWidth="1"/>
    <col min="9" max="9" width="14.7109375" style="0" customWidth="1"/>
  </cols>
  <sheetData>
    <row r="1" ht="12" customHeight="1"/>
    <row r="2" spans="2:9" ht="15" customHeight="1">
      <c r="B2" s="367" t="s">
        <v>317</v>
      </c>
      <c r="C2" s="367"/>
      <c r="D2" s="367"/>
      <c r="E2" s="367"/>
      <c r="F2" s="367"/>
      <c r="G2" s="367"/>
      <c r="H2" s="367"/>
      <c r="I2" s="367"/>
    </row>
    <row r="3" spans="2:9" ht="15" customHeight="1">
      <c r="B3" s="367"/>
      <c r="C3" s="367"/>
      <c r="D3" s="367"/>
      <c r="E3" s="367"/>
      <c r="F3" s="367"/>
      <c r="G3" s="367"/>
      <c r="H3" s="367"/>
      <c r="I3" s="367"/>
    </row>
    <row r="4" spans="2:9" ht="18.75" customHeight="1">
      <c r="B4" s="316" t="s">
        <v>318</v>
      </c>
      <c r="C4" s="316"/>
      <c r="D4" s="316"/>
      <c r="E4" s="316"/>
      <c r="F4" s="74" t="s">
        <v>77</v>
      </c>
      <c r="G4" s="74" t="s">
        <v>257</v>
      </c>
      <c r="H4" s="74" t="s">
        <v>319</v>
      </c>
      <c r="I4" s="74" t="s">
        <v>94</v>
      </c>
    </row>
    <row r="5" spans="2:9" ht="18.75" customHeight="1">
      <c r="B5" s="366" t="s">
        <v>320</v>
      </c>
      <c r="C5" s="366"/>
      <c r="D5" s="366"/>
      <c r="E5" s="366"/>
      <c r="F5" s="73" t="s">
        <v>321</v>
      </c>
      <c r="G5" s="75">
        <v>500</v>
      </c>
      <c r="H5" s="76">
        <v>6</v>
      </c>
      <c r="I5" s="77">
        <f>G5*H5</f>
        <v>3000</v>
      </c>
    </row>
    <row r="6" spans="2:9" ht="18">
      <c r="B6" s="366" t="s">
        <v>322</v>
      </c>
      <c r="C6" s="366"/>
      <c r="D6" s="366"/>
      <c r="E6" s="366"/>
      <c r="F6" s="73" t="s">
        <v>323</v>
      </c>
      <c r="G6" s="75">
        <v>0</v>
      </c>
      <c r="H6" s="76">
        <v>20</v>
      </c>
      <c r="I6" s="77">
        <f aca="true" t="shared" si="0" ref="I6:I11">G6*H6</f>
        <v>0</v>
      </c>
    </row>
    <row r="7" spans="2:9" ht="18">
      <c r="B7" s="366" t="s">
        <v>324</v>
      </c>
      <c r="C7" s="366"/>
      <c r="D7" s="366"/>
      <c r="E7" s="366"/>
      <c r="F7" s="73" t="s">
        <v>325</v>
      </c>
      <c r="G7" s="75">
        <v>0</v>
      </c>
      <c r="H7" s="76">
        <v>25</v>
      </c>
      <c r="I7" s="77">
        <f t="shared" si="0"/>
        <v>0</v>
      </c>
    </row>
    <row r="8" spans="2:9" ht="18">
      <c r="B8" s="366" t="s">
        <v>326</v>
      </c>
      <c r="C8" s="366"/>
      <c r="D8" s="366"/>
      <c r="E8" s="366"/>
      <c r="F8" s="73" t="s">
        <v>327</v>
      </c>
      <c r="G8" s="75">
        <v>0</v>
      </c>
      <c r="H8" s="76">
        <v>20</v>
      </c>
      <c r="I8" s="77">
        <f t="shared" si="0"/>
        <v>0</v>
      </c>
    </row>
    <row r="9" spans="2:9" ht="18">
      <c r="B9" s="368" t="s">
        <v>329</v>
      </c>
      <c r="C9" s="369"/>
      <c r="D9" s="369"/>
      <c r="E9" s="370"/>
      <c r="F9" s="73"/>
      <c r="G9" s="75"/>
      <c r="H9" s="76"/>
      <c r="I9" s="77">
        <f t="shared" si="0"/>
        <v>0</v>
      </c>
    </row>
    <row r="10" spans="2:9" ht="18">
      <c r="B10" s="368" t="s">
        <v>329</v>
      </c>
      <c r="C10" s="369"/>
      <c r="D10" s="369"/>
      <c r="E10" s="370"/>
      <c r="F10" s="73"/>
      <c r="G10" s="75"/>
      <c r="H10" s="76"/>
      <c r="I10" s="77">
        <f t="shared" si="0"/>
        <v>0</v>
      </c>
    </row>
    <row r="11" spans="2:9" ht="18">
      <c r="B11" s="368" t="s">
        <v>329</v>
      </c>
      <c r="C11" s="369"/>
      <c r="D11" s="369"/>
      <c r="E11" s="370"/>
      <c r="F11" s="73"/>
      <c r="G11" s="75"/>
      <c r="H11" s="76"/>
      <c r="I11" s="77">
        <f t="shared" si="0"/>
        <v>0</v>
      </c>
    </row>
    <row r="12" spans="2:9" ht="18">
      <c r="B12" s="368" t="s">
        <v>329</v>
      </c>
      <c r="C12" s="369"/>
      <c r="D12" s="369"/>
      <c r="E12" s="370"/>
      <c r="F12" s="73"/>
      <c r="G12" s="75"/>
      <c r="H12" s="76"/>
      <c r="I12" s="77">
        <f aca="true" t="shared" si="1" ref="I12:I13">G12*H12</f>
        <v>0</v>
      </c>
    </row>
    <row r="13" spans="2:9" ht="18">
      <c r="B13" s="368" t="s">
        <v>329</v>
      </c>
      <c r="C13" s="369"/>
      <c r="D13" s="369"/>
      <c r="E13" s="370"/>
      <c r="F13" s="73"/>
      <c r="G13" s="75"/>
      <c r="H13" s="76"/>
      <c r="I13" s="77">
        <f t="shared" si="1"/>
        <v>0</v>
      </c>
    </row>
    <row r="14" spans="2:9" ht="18">
      <c r="B14" s="316" t="s">
        <v>328</v>
      </c>
      <c r="C14" s="316"/>
      <c r="D14" s="316"/>
      <c r="E14" s="316"/>
      <c r="F14" s="74"/>
      <c r="G14" s="74"/>
      <c r="H14" s="78"/>
      <c r="I14" s="77">
        <f>SUM(I5:I13)</f>
        <v>3000</v>
      </c>
    </row>
  </sheetData>
  <mergeCells count="12">
    <mergeCell ref="B14:E14"/>
    <mergeCell ref="B6:E6"/>
    <mergeCell ref="B7:E7"/>
    <mergeCell ref="B8:E8"/>
    <mergeCell ref="B9:E9"/>
    <mergeCell ref="B10:E10"/>
    <mergeCell ref="B11:E11"/>
    <mergeCell ref="B4:E4"/>
    <mergeCell ref="B5:E5"/>
    <mergeCell ref="B2:I3"/>
    <mergeCell ref="B12:E12"/>
    <mergeCell ref="B13:E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V63"/>
  <sheetViews>
    <sheetView workbookViewId="0" topLeftCell="A1"/>
  </sheetViews>
  <sheetFormatPr defaultColWidth="9.140625" defaultRowHeight="15"/>
  <cols>
    <col min="1" max="1" width="3.28125" style="0" customWidth="1"/>
    <col min="2" max="2" width="20.8515625" style="0" customWidth="1"/>
    <col min="3" max="3" width="14.7109375" style="0" customWidth="1"/>
    <col min="4" max="4" width="13.7109375" style="0" customWidth="1"/>
    <col min="5" max="5" width="9.140625" style="0" customWidth="1"/>
    <col min="6" max="6" width="6.7109375" style="0" customWidth="1"/>
    <col min="7" max="7" width="5.7109375" style="0" customWidth="1"/>
    <col min="9" max="9" width="6.7109375" style="0" customWidth="1"/>
    <col min="10" max="10" width="5.7109375" style="0" customWidth="1"/>
    <col min="11" max="11" width="9.57421875" style="0" bestFit="1" customWidth="1"/>
    <col min="12" max="12" width="8.00390625" style="0" customWidth="1"/>
    <col min="13" max="13" width="8.421875" style="0" customWidth="1"/>
    <col min="14" max="14" width="7.140625" style="0" customWidth="1"/>
  </cols>
  <sheetData>
    <row r="1" ht="11.25" customHeight="1"/>
    <row r="2" spans="2:10" ht="15" customHeight="1">
      <c r="B2" s="417" t="s">
        <v>157</v>
      </c>
      <c r="C2" s="417"/>
      <c r="D2" s="417"/>
      <c r="E2" s="417"/>
      <c r="F2" s="417"/>
      <c r="G2" s="417"/>
      <c r="H2" s="417"/>
      <c r="I2" s="417"/>
      <c r="J2" s="417"/>
    </row>
    <row r="3" spans="2:10" ht="15" customHeight="1">
      <c r="B3" s="417"/>
      <c r="C3" s="417"/>
      <c r="D3" s="417"/>
      <c r="E3" s="417"/>
      <c r="F3" s="417"/>
      <c r="G3" s="417"/>
      <c r="H3" s="417"/>
      <c r="I3" s="417"/>
      <c r="J3" s="417"/>
    </row>
    <row r="4" spans="2:11" ht="18">
      <c r="B4" s="169"/>
      <c r="C4" s="169"/>
      <c r="D4" s="169" t="s">
        <v>77</v>
      </c>
      <c r="E4" s="437" t="s">
        <v>193</v>
      </c>
      <c r="F4" s="437"/>
      <c r="G4" s="437"/>
      <c r="H4" s="437" t="s">
        <v>192</v>
      </c>
      <c r="I4" s="437"/>
      <c r="J4" s="437"/>
      <c r="K4" s="2"/>
    </row>
    <row r="5" spans="2:11" ht="18">
      <c r="B5" s="169"/>
      <c r="C5" s="169"/>
      <c r="D5" s="169"/>
      <c r="E5" s="437"/>
      <c r="F5" s="437"/>
      <c r="G5" s="437"/>
      <c r="H5" s="437"/>
      <c r="I5" s="437"/>
      <c r="J5" s="437"/>
      <c r="K5" s="2"/>
    </row>
    <row r="6" spans="2:11" ht="18">
      <c r="B6" s="414" t="s">
        <v>6</v>
      </c>
      <c r="C6" s="414"/>
      <c r="D6" s="11" t="s">
        <v>16</v>
      </c>
      <c r="E6" s="438">
        <v>57500</v>
      </c>
      <c r="F6" s="439"/>
      <c r="G6" s="440"/>
      <c r="H6" s="438">
        <v>49000</v>
      </c>
      <c r="I6" s="439"/>
      <c r="J6" s="440"/>
      <c r="K6" s="2"/>
    </row>
    <row r="7" spans="2:11" ht="18">
      <c r="B7" s="414" t="s">
        <v>127</v>
      </c>
      <c r="C7" s="414"/>
      <c r="D7" s="11" t="s">
        <v>8</v>
      </c>
      <c r="E7" s="409">
        <v>0.5</v>
      </c>
      <c r="F7" s="409"/>
      <c r="G7" s="409"/>
      <c r="H7" s="409">
        <v>0.25</v>
      </c>
      <c r="I7" s="409"/>
      <c r="J7" s="409"/>
      <c r="K7" s="2"/>
    </row>
    <row r="8" spans="2:11" ht="18">
      <c r="B8" s="414" t="s">
        <v>73</v>
      </c>
      <c r="C8" s="414"/>
      <c r="D8" s="11" t="s">
        <v>36</v>
      </c>
      <c r="E8" s="415">
        <v>10</v>
      </c>
      <c r="F8" s="415"/>
      <c r="G8" s="415"/>
      <c r="H8" s="415">
        <v>25</v>
      </c>
      <c r="I8" s="415"/>
      <c r="J8" s="415"/>
      <c r="K8" s="2"/>
    </row>
    <row r="9" spans="2:11" ht="18">
      <c r="B9" s="414" t="s">
        <v>74</v>
      </c>
      <c r="C9" s="414"/>
      <c r="D9" s="11" t="s">
        <v>16</v>
      </c>
      <c r="E9" s="382">
        <v>5000</v>
      </c>
      <c r="F9" s="382"/>
      <c r="G9" s="382"/>
      <c r="H9" s="382">
        <v>2500</v>
      </c>
      <c r="I9" s="382"/>
      <c r="J9" s="382"/>
      <c r="K9" s="2"/>
    </row>
    <row r="10" spans="2:11" ht="18">
      <c r="B10" s="95" t="s">
        <v>75</v>
      </c>
      <c r="C10" s="96"/>
      <c r="D10" s="97"/>
      <c r="E10" s="175"/>
      <c r="F10" s="389"/>
      <c r="G10" s="389"/>
      <c r="H10" s="389"/>
      <c r="I10" s="389"/>
      <c r="J10" s="176"/>
      <c r="K10" s="2"/>
    </row>
    <row r="11" spans="2:11" ht="18">
      <c r="B11" s="233" t="s">
        <v>191</v>
      </c>
      <c r="C11" s="234"/>
      <c r="D11" s="11" t="s">
        <v>78</v>
      </c>
      <c r="E11" s="382">
        <v>850</v>
      </c>
      <c r="F11" s="382"/>
      <c r="G11" s="382"/>
      <c r="H11" s="382">
        <v>550</v>
      </c>
      <c r="I11" s="382"/>
      <c r="J11" s="382"/>
      <c r="K11" s="2"/>
    </row>
    <row r="12" spans="2:11" ht="18">
      <c r="B12" s="416" t="s">
        <v>79</v>
      </c>
      <c r="C12" s="416"/>
      <c r="D12" s="11" t="s">
        <v>78</v>
      </c>
      <c r="E12" s="382">
        <v>200</v>
      </c>
      <c r="F12" s="382"/>
      <c r="G12" s="382"/>
      <c r="H12" s="382">
        <v>0</v>
      </c>
      <c r="I12" s="382"/>
      <c r="J12" s="382"/>
      <c r="K12" s="2"/>
    </row>
    <row r="13" spans="2:11" ht="18">
      <c r="B13" s="416" t="s">
        <v>80</v>
      </c>
      <c r="C13" s="416"/>
      <c r="D13" s="11" t="s">
        <v>78</v>
      </c>
      <c r="E13" s="382">
        <v>150</v>
      </c>
      <c r="F13" s="382"/>
      <c r="G13" s="382"/>
      <c r="H13" s="382">
        <v>0</v>
      </c>
      <c r="I13" s="382"/>
      <c r="J13" s="382"/>
      <c r="K13" s="2"/>
    </row>
    <row r="14" spans="2:11" ht="18">
      <c r="B14" s="416" t="s">
        <v>190</v>
      </c>
      <c r="C14" s="416"/>
      <c r="D14" s="11" t="s">
        <v>78</v>
      </c>
      <c r="E14" s="382">
        <v>2000</v>
      </c>
      <c r="F14" s="382"/>
      <c r="G14" s="382"/>
      <c r="H14" s="382">
        <v>0</v>
      </c>
      <c r="I14" s="382"/>
      <c r="J14" s="382"/>
      <c r="K14" s="2"/>
    </row>
    <row r="15" spans="2:11" ht="19.5" customHeight="1">
      <c r="B15" s="443" t="s">
        <v>76</v>
      </c>
      <c r="C15" s="444"/>
      <c r="D15" s="356" t="s">
        <v>78</v>
      </c>
      <c r="E15" s="392">
        <f>IF(E8&gt;0,(E6-E9)/E8,0)</f>
        <v>5250</v>
      </c>
      <c r="F15" s="393"/>
      <c r="G15" s="394"/>
      <c r="H15" s="392">
        <f>IF(H8&gt;0,(H6-H9)/H8,0)</f>
        <v>1860</v>
      </c>
      <c r="I15" s="393"/>
      <c r="J15" s="394"/>
      <c r="K15" s="2"/>
    </row>
    <row r="16" spans="2:11" ht="2.25" customHeight="1" hidden="1">
      <c r="B16" s="445"/>
      <c r="C16" s="446"/>
      <c r="D16" s="357"/>
      <c r="E16" s="395"/>
      <c r="F16" s="396"/>
      <c r="G16" s="397"/>
      <c r="H16" s="395"/>
      <c r="I16" s="396"/>
      <c r="J16" s="397"/>
      <c r="K16" s="2"/>
    </row>
    <row r="17" spans="2:11" ht="12" customHeight="1">
      <c r="B17" s="419" t="s">
        <v>136</v>
      </c>
      <c r="C17" s="420"/>
      <c r="D17" s="423" t="s">
        <v>16</v>
      </c>
      <c r="E17" s="425">
        <f>E6*E7</f>
        <v>28750</v>
      </c>
      <c r="F17" s="426"/>
      <c r="G17" s="427"/>
      <c r="H17" s="425">
        <f>H6*H7</f>
        <v>12250</v>
      </c>
      <c r="I17" s="426"/>
      <c r="J17" s="427"/>
      <c r="K17" s="2"/>
    </row>
    <row r="18" spans="2:11" ht="7.5" customHeight="1">
      <c r="B18" s="421"/>
      <c r="C18" s="422"/>
      <c r="D18" s="424"/>
      <c r="E18" s="428"/>
      <c r="F18" s="429"/>
      <c r="G18" s="430"/>
      <c r="H18" s="428"/>
      <c r="I18" s="429"/>
      <c r="J18" s="430"/>
      <c r="K18" s="27"/>
    </row>
    <row r="19" spans="2:10" ht="18">
      <c r="B19" s="190" t="s">
        <v>34</v>
      </c>
      <c r="C19" s="190"/>
      <c r="D19" s="17" t="s">
        <v>8</v>
      </c>
      <c r="E19" s="442">
        <v>0.06</v>
      </c>
      <c r="F19" s="442"/>
      <c r="G19" s="442"/>
      <c r="H19" s="441">
        <v>0.06</v>
      </c>
      <c r="I19" s="441"/>
      <c r="J19" s="441"/>
    </row>
    <row r="20" spans="2:10" ht="18">
      <c r="B20" s="190" t="s">
        <v>35</v>
      </c>
      <c r="C20" s="190"/>
      <c r="D20" s="17" t="s">
        <v>36</v>
      </c>
      <c r="E20" s="391">
        <v>5</v>
      </c>
      <c r="F20" s="391"/>
      <c r="G20" s="391"/>
      <c r="H20" s="391">
        <v>5</v>
      </c>
      <c r="I20" s="391"/>
      <c r="J20" s="391"/>
    </row>
    <row r="21" spans="2:10" ht="18">
      <c r="B21" s="181" t="s">
        <v>39</v>
      </c>
      <c r="C21" s="188"/>
      <c r="D21" s="189"/>
      <c r="E21" s="391">
        <v>3</v>
      </c>
      <c r="F21" s="391"/>
      <c r="G21" s="391"/>
      <c r="H21" s="391">
        <v>3</v>
      </c>
      <c r="I21" s="391"/>
      <c r="J21" s="391"/>
    </row>
    <row r="22" spans="2:10" ht="18">
      <c r="B22" s="181" t="s">
        <v>37</v>
      </c>
      <c r="C22" s="188"/>
      <c r="D22" s="189"/>
      <c r="E22" s="390" t="s">
        <v>238</v>
      </c>
      <c r="F22" s="390"/>
      <c r="G22" s="390"/>
      <c r="H22" s="390" t="s">
        <v>38</v>
      </c>
      <c r="I22" s="390"/>
      <c r="J22" s="390"/>
    </row>
    <row r="23" spans="2:10" ht="18">
      <c r="B23" s="190" t="s">
        <v>83</v>
      </c>
      <c r="C23" s="190"/>
      <c r="D23" s="17" t="s">
        <v>16</v>
      </c>
      <c r="E23" s="401">
        <v>6698.25962556366</v>
      </c>
      <c r="F23" s="401"/>
      <c r="G23" s="401"/>
      <c r="H23" s="401">
        <v>2908.105905282071</v>
      </c>
      <c r="I23" s="401"/>
      <c r="J23" s="401"/>
    </row>
    <row r="24" spans="2:10" ht="18">
      <c r="B24" s="190" t="s">
        <v>84</v>
      </c>
      <c r="C24" s="190"/>
      <c r="D24" s="17" t="s">
        <v>16</v>
      </c>
      <c r="E24" s="401">
        <v>5729.658005144789</v>
      </c>
      <c r="F24" s="401"/>
      <c r="G24" s="401"/>
      <c r="H24" s="401">
        <v>2441.7017951749353</v>
      </c>
      <c r="I24" s="401"/>
      <c r="J24" s="401"/>
    </row>
    <row r="25" spans="2:10" ht="18">
      <c r="B25" s="190" t="s">
        <v>85</v>
      </c>
      <c r="C25" s="190"/>
      <c r="D25" s="17" t="s">
        <v>16</v>
      </c>
      <c r="E25" s="401">
        <v>968.6016204188711</v>
      </c>
      <c r="F25" s="401"/>
      <c r="G25" s="401"/>
      <c r="H25" s="401">
        <v>466.40411010713564</v>
      </c>
      <c r="I25" s="401"/>
      <c r="J25" s="401"/>
    </row>
    <row r="26" spans="2:10" ht="18.75" customHeight="1">
      <c r="B26" s="418" t="s">
        <v>258</v>
      </c>
      <c r="C26" s="418"/>
      <c r="D26" s="418"/>
      <c r="E26" s="34"/>
      <c r="F26" s="35"/>
      <c r="G26" s="36"/>
      <c r="H26" s="34"/>
      <c r="I26" s="35"/>
      <c r="J26" s="36"/>
    </row>
    <row r="27" spans="2:10" ht="18.75" customHeight="1">
      <c r="B27" s="431" t="s">
        <v>195</v>
      </c>
      <c r="C27" s="432"/>
      <c r="D27" s="66">
        <v>0.03</v>
      </c>
      <c r="E27" s="398">
        <f>(E6+E9)/2*$D$27</f>
        <v>937.5</v>
      </c>
      <c r="F27" s="399"/>
      <c r="G27" s="400"/>
      <c r="H27" s="398">
        <f>(H6+H9)/2*$D$27</f>
        <v>772.5</v>
      </c>
      <c r="I27" s="399"/>
      <c r="J27" s="400"/>
    </row>
    <row r="28" spans="2:11" ht="18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3" ht="18.75" customHeight="1">
      <c r="B29" s="417" t="s">
        <v>309</v>
      </c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</row>
    <row r="30" spans="2:13" ht="18.75" customHeight="1"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</row>
    <row r="31" spans="2:13" ht="18">
      <c r="B31" s="169"/>
      <c r="C31" s="169"/>
      <c r="D31" s="169"/>
      <c r="E31" s="11" t="s">
        <v>77</v>
      </c>
      <c r="F31" s="169" t="s">
        <v>86</v>
      </c>
      <c r="G31" s="169"/>
      <c r="H31" s="169"/>
      <c r="I31" s="169" t="s">
        <v>87</v>
      </c>
      <c r="J31" s="169"/>
      <c r="K31" s="169"/>
      <c r="L31" s="169" t="s">
        <v>93</v>
      </c>
      <c r="M31" s="169"/>
    </row>
    <row r="32" spans="2:13" ht="18">
      <c r="B32" s="316" t="s">
        <v>88</v>
      </c>
      <c r="C32" s="316"/>
      <c r="D32" s="316"/>
      <c r="E32" s="11" t="s">
        <v>78</v>
      </c>
      <c r="F32" s="382">
        <v>0</v>
      </c>
      <c r="G32" s="382"/>
      <c r="H32" s="382"/>
      <c r="I32" s="382">
        <v>0</v>
      </c>
      <c r="J32" s="382"/>
      <c r="K32" s="382"/>
      <c r="L32" s="383">
        <f>I32+F32</f>
        <v>0</v>
      </c>
      <c r="M32" s="384"/>
    </row>
    <row r="33" spans="2:13" ht="18">
      <c r="B33" s="316" t="s">
        <v>138</v>
      </c>
      <c r="C33" s="316"/>
      <c r="D33" s="316"/>
      <c r="E33" s="23" t="s">
        <v>78</v>
      </c>
      <c r="F33" s="382">
        <v>15000</v>
      </c>
      <c r="G33" s="382"/>
      <c r="H33" s="382"/>
      <c r="I33" s="382">
        <v>0</v>
      </c>
      <c r="J33" s="382"/>
      <c r="K33" s="382"/>
      <c r="L33" s="383">
        <f>I33+F33</f>
        <v>15000</v>
      </c>
      <c r="M33" s="384"/>
    </row>
    <row r="34" spans="2:13" ht="18">
      <c r="B34" s="316" t="s">
        <v>89</v>
      </c>
      <c r="C34" s="316"/>
      <c r="D34" s="316"/>
      <c r="E34" s="11" t="s">
        <v>78</v>
      </c>
      <c r="F34" s="382">
        <v>0</v>
      </c>
      <c r="G34" s="382"/>
      <c r="H34" s="382"/>
      <c r="I34" s="382">
        <v>0</v>
      </c>
      <c r="J34" s="382"/>
      <c r="K34" s="382"/>
      <c r="L34" s="383">
        <f>I34+F34</f>
        <v>0</v>
      </c>
      <c r="M34" s="384"/>
    </row>
    <row r="35" spans="2:13" ht="18">
      <c r="B35" s="316" t="s">
        <v>189</v>
      </c>
      <c r="C35" s="316"/>
      <c r="D35" s="316"/>
      <c r="E35" s="11" t="s">
        <v>8</v>
      </c>
      <c r="F35" s="409">
        <v>1</v>
      </c>
      <c r="G35" s="409"/>
      <c r="H35" s="409"/>
      <c r="I35" s="409">
        <v>0</v>
      </c>
      <c r="J35" s="409"/>
      <c r="K35" s="409"/>
      <c r="L35" s="413">
        <f>I35+F35</f>
        <v>1</v>
      </c>
      <c r="M35" s="413"/>
    </row>
    <row r="36" spans="2:13" ht="18">
      <c r="B36" s="316" t="s">
        <v>194</v>
      </c>
      <c r="C36" s="316"/>
      <c r="D36" s="316"/>
      <c r="E36" s="11" t="s">
        <v>8</v>
      </c>
      <c r="F36" s="409">
        <v>1</v>
      </c>
      <c r="G36" s="409"/>
      <c r="H36" s="409"/>
      <c r="I36" s="409">
        <v>0</v>
      </c>
      <c r="J36" s="409"/>
      <c r="K36" s="409"/>
      <c r="L36" s="413">
        <f>I36+F36</f>
        <v>1</v>
      </c>
      <c r="M36" s="413"/>
    </row>
    <row r="38" spans="2:11" ht="15" customHeight="1">
      <c r="B38" s="417" t="s">
        <v>174</v>
      </c>
      <c r="C38" s="417"/>
      <c r="D38" s="417"/>
      <c r="E38" s="417"/>
      <c r="F38" s="417"/>
      <c r="G38" s="417"/>
      <c r="H38" s="417"/>
      <c r="I38" s="417"/>
      <c r="J38" s="417"/>
      <c r="K38" s="417"/>
    </row>
    <row r="39" spans="2:11" ht="15" customHeight="1">
      <c r="B39" s="417"/>
      <c r="C39" s="417"/>
      <c r="D39" s="417"/>
      <c r="E39" s="417"/>
      <c r="F39" s="417"/>
      <c r="G39" s="417"/>
      <c r="H39" s="417"/>
      <c r="I39" s="417"/>
      <c r="J39" s="417"/>
      <c r="K39" s="417"/>
    </row>
    <row r="40" spans="2:11" ht="18">
      <c r="B40" s="169"/>
      <c r="C40" s="169"/>
      <c r="D40" s="169"/>
      <c r="E40" s="15" t="s">
        <v>7</v>
      </c>
      <c r="F40" s="175" t="s">
        <v>86</v>
      </c>
      <c r="G40" s="389"/>
      <c r="H40" s="176"/>
      <c r="I40" s="175" t="s">
        <v>87</v>
      </c>
      <c r="J40" s="389"/>
      <c r="K40" s="176"/>
    </row>
    <row r="41" spans="2:11" ht="18">
      <c r="B41" s="316" t="s">
        <v>90</v>
      </c>
      <c r="C41" s="316"/>
      <c r="D41" s="316"/>
      <c r="E41" s="11" t="s">
        <v>8</v>
      </c>
      <c r="F41" s="402">
        <v>0.75</v>
      </c>
      <c r="G41" s="403"/>
      <c r="H41" s="404"/>
      <c r="I41" s="402">
        <v>1</v>
      </c>
      <c r="J41" s="403"/>
      <c r="K41" s="404"/>
    </row>
    <row r="42" spans="2:11" ht="18">
      <c r="B42" s="316" t="s">
        <v>91</v>
      </c>
      <c r="C42" s="316"/>
      <c r="D42" s="316"/>
      <c r="E42" s="11" t="s">
        <v>92</v>
      </c>
      <c r="F42" s="405">
        <v>9</v>
      </c>
      <c r="G42" s="406"/>
      <c r="H42" s="407"/>
      <c r="I42" s="405">
        <v>4</v>
      </c>
      <c r="J42" s="406"/>
      <c r="K42" s="407"/>
    </row>
    <row r="43" spans="2:11" ht="18">
      <c r="B43" s="316" t="s">
        <v>34</v>
      </c>
      <c r="C43" s="316"/>
      <c r="D43" s="316"/>
      <c r="E43" s="11" t="s">
        <v>8</v>
      </c>
      <c r="F43" s="410">
        <v>0.0625</v>
      </c>
      <c r="G43" s="411"/>
      <c r="H43" s="412"/>
      <c r="I43" s="410">
        <v>0.0625</v>
      </c>
      <c r="J43" s="411"/>
      <c r="K43" s="412"/>
    </row>
    <row r="45" spans="2:20" ht="15" customHeight="1">
      <c r="B45" s="417" t="s">
        <v>291</v>
      </c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</row>
    <row r="46" spans="2:20" ht="15" customHeight="1"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</row>
    <row r="47" spans="2:20" ht="74.25" customHeight="1">
      <c r="B47" s="43" t="s">
        <v>139</v>
      </c>
      <c r="C47" s="43" t="s">
        <v>237</v>
      </c>
      <c r="D47" s="43" t="s">
        <v>229</v>
      </c>
      <c r="E47" s="387" t="s">
        <v>232</v>
      </c>
      <c r="F47" s="388"/>
      <c r="G47" s="387" t="s">
        <v>283</v>
      </c>
      <c r="H47" s="388"/>
      <c r="I47" s="84" t="s">
        <v>233</v>
      </c>
      <c r="J47" s="85"/>
      <c r="K47" s="84" t="s">
        <v>234</v>
      </c>
      <c r="L47" s="408"/>
      <c r="M47" s="387" t="s">
        <v>235</v>
      </c>
      <c r="N47" s="388"/>
      <c r="O47" s="387" t="s">
        <v>236</v>
      </c>
      <c r="P47" s="388"/>
      <c r="Q47" s="435" t="s">
        <v>195</v>
      </c>
      <c r="R47" s="436"/>
      <c r="S47" s="435" t="s">
        <v>259</v>
      </c>
      <c r="T47" s="436"/>
    </row>
    <row r="48" spans="2:20" ht="18">
      <c r="B48" s="25" t="s">
        <v>0</v>
      </c>
      <c r="C48" s="44" t="s">
        <v>230</v>
      </c>
      <c r="D48" s="79" t="str">
        <f>'Cows, heifers, &amp; bulls'!E10&amp;" head"</f>
        <v>80 head</v>
      </c>
      <c r="E48" s="373">
        <v>940</v>
      </c>
      <c r="F48" s="373"/>
      <c r="G48" s="433">
        <f>'Cows, heifers, &amp; bulls'!E11</f>
        <v>1125</v>
      </c>
      <c r="H48" s="434"/>
      <c r="I48" s="374" t="s">
        <v>111</v>
      </c>
      <c r="J48" s="375"/>
      <c r="K48" s="374" t="s">
        <v>111</v>
      </c>
      <c r="L48" s="375"/>
      <c r="M48" s="378">
        <v>700</v>
      </c>
      <c r="N48" s="379"/>
      <c r="O48" s="378">
        <v>900</v>
      </c>
      <c r="P48" s="379"/>
      <c r="Q48" s="380">
        <v>0.03</v>
      </c>
      <c r="R48" s="381"/>
      <c r="S48" s="371">
        <v>2478</v>
      </c>
      <c r="T48" s="372"/>
    </row>
    <row r="49" spans="2:20" ht="18">
      <c r="B49" s="25" t="s">
        <v>0</v>
      </c>
      <c r="C49" s="44" t="s">
        <v>132</v>
      </c>
      <c r="D49" s="79" t="str">
        <f>'Cows, heifers, &amp; bulls'!E12&amp;" head"</f>
        <v>0 head</v>
      </c>
      <c r="E49" s="373">
        <v>940</v>
      </c>
      <c r="F49" s="373"/>
      <c r="G49" s="433">
        <v>1500</v>
      </c>
      <c r="H49" s="434"/>
      <c r="I49" s="386">
        <v>8</v>
      </c>
      <c r="J49" s="386"/>
      <c r="K49" s="371">
        <v>0</v>
      </c>
      <c r="L49" s="372"/>
      <c r="M49" s="378">
        <v>0</v>
      </c>
      <c r="N49" s="379"/>
      <c r="O49" s="378">
        <v>0</v>
      </c>
      <c r="P49" s="379"/>
      <c r="Q49" s="380">
        <v>0.03</v>
      </c>
      <c r="R49" s="381"/>
      <c r="S49" s="371">
        <v>0</v>
      </c>
      <c r="T49" s="372"/>
    </row>
    <row r="50" spans="2:20" ht="18">
      <c r="B50" s="25" t="s">
        <v>140</v>
      </c>
      <c r="C50" s="44" t="s">
        <v>230</v>
      </c>
      <c r="D50" s="79" t="str">
        <f>'Cows, heifers, &amp; bulls'!G10&amp;" head"</f>
        <v>20 head</v>
      </c>
      <c r="E50" s="373">
        <v>940</v>
      </c>
      <c r="F50" s="373"/>
      <c r="G50" s="81">
        <f>'Cows, heifers, &amp; bulls'!G$11</f>
        <v>1000</v>
      </c>
      <c r="H50" s="81"/>
      <c r="I50" s="374" t="s">
        <v>111</v>
      </c>
      <c r="J50" s="375"/>
      <c r="K50" s="376" t="s">
        <v>147</v>
      </c>
      <c r="L50" s="377"/>
      <c r="M50" s="378">
        <v>200</v>
      </c>
      <c r="N50" s="379"/>
      <c r="O50" s="378">
        <v>225</v>
      </c>
      <c r="P50" s="379"/>
      <c r="Q50" s="380">
        <v>0.03</v>
      </c>
      <c r="R50" s="381"/>
      <c r="S50" s="371">
        <v>582</v>
      </c>
      <c r="T50" s="372"/>
    </row>
    <row r="51" spans="2:20" ht="18">
      <c r="B51" s="25" t="s">
        <v>140</v>
      </c>
      <c r="C51" s="44" t="s">
        <v>132</v>
      </c>
      <c r="D51" s="79" t="str">
        <f>'Cows, heifers, &amp; bulls'!G12&amp;" head"</f>
        <v>0 head</v>
      </c>
      <c r="E51" s="373">
        <v>940</v>
      </c>
      <c r="F51" s="373"/>
      <c r="G51" s="385">
        <v>1500</v>
      </c>
      <c r="H51" s="385"/>
      <c r="I51" s="374" t="s">
        <v>111</v>
      </c>
      <c r="J51" s="375"/>
      <c r="K51" s="376" t="s">
        <v>147</v>
      </c>
      <c r="L51" s="377"/>
      <c r="M51" s="378">
        <v>0</v>
      </c>
      <c r="N51" s="379"/>
      <c r="O51" s="378">
        <v>0</v>
      </c>
      <c r="P51" s="379"/>
      <c r="Q51" s="380">
        <v>0.03</v>
      </c>
      <c r="R51" s="381"/>
      <c r="S51" s="371">
        <v>0</v>
      </c>
      <c r="T51" s="372"/>
    </row>
    <row r="52" spans="2:20" ht="18">
      <c r="B52" s="25" t="s">
        <v>2</v>
      </c>
      <c r="C52" s="44" t="s">
        <v>230</v>
      </c>
      <c r="D52" s="79" t="str">
        <f>'Cows, heifers, &amp; bulls'!I10&amp;" head"</f>
        <v>25 head</v>
      </c>
      <c r="E52" s="373">
        <v>875</v>
      </c>
      <c r="F52" s="373"/>
      <c r="G52" s="81">
        <f>'Cows, heifers, &amp; bulls'!$I$11</f>
        <v>850</v>
      </c>
      <c r="H52" s="81"/>
      <c r="I52" s="374" t="s">
        <v>111</v>
      </c>
      <c r="J52" s="375"/>
      <c r="K52" s="376" t="s">
        <v>147</v>
      </c>
      <c r="L52" s="377"/>
      <c r="M52" s="378">
        <v>190</v>
      </c>
      <c r="N52" s="379"/>
      <c r="O52" s="378">
        <v>200</v>
      </c>
      <c r="P52" s="379"/>
      <c r="Q52" s="380">
        <v>0.03</v>
      </c>
      <c r="R52" s="381"/>
      <c r="S52" s="371">
        <v>646.875</v>
      </c>
      <c r="T52" s="372"/>
    </row>
    <row r="53" spans="2:20" ht="18">
      <c r="B53" s="25" t="s">
        <v>2</v>
      </c>
      <c r="C53" s="44" t="s">
        <v>132</v>
      </c>
      <c r="D53" s="79" t="str">
        <f>'Cows, heifers, &amp; bulls'!I12&amp;" head"</f>
        <v>0 head</v>
      </c>
      <c r="E53" s="373">
        <v>875</v>
      </c>
      <c r="F53" s="373"/>
      <c r="G53" s="81">
        <v>800</v>
      </c>
      <c r="H53" s="81"/>
      <c r="I53" s="374" t="s">
        <v>111</v>
      </c>
      <c r="J53" s="375"/>
      <c r="K53" s="376" t="s">
        <v>147</v>
      </c>
      <c r="L53" s="377"/>
      <c r="M53" s="378">
        <v>0</v>
      </c>
      <c r="N53" s="379"/>
      <c r="O53" s="378">
        <v>0</v>
      </c>
      <c r="P53" s="379"/>
      <c r="Q53" s="380">
        <v>0.03</v>
      </c>
      <c r="R53" s="381"/>
      <c r="S53" s="371">
        <v>0</v>
      </c>
      <c r="T53" s="372"/>
    </row>
    <row r="54" spans="2:22" ht="18">
      <c r="B54" s="25" t="s">
        <v>269</v>
      </c>
      <c r="C54" s="52" t="s">
        <v>0</v>
      </c>
      <c r="D54" s="80" t="str">
        <f>ROUND('Cows, heifers, &amp; bulls'!E20,0)&amp;" head"</f>
        <v>19 head</v>
      </c>
      <c r="E54" s="371" t="s">
        <v>147</v>
      </c>
      <c r="F54" s="372"/>
      <c r="G54" s="81">
        <v>800</v>
      </c>
      <c r="H54" s="81"/>
      <c r="I54" s="374" t="s">
        <v>111</v>
      </c>
      <c r="J54" s="375"/>
      <c r="K54" s="376" t="s">
        <v>147</v>
      </c>
      <c r="L54" s="377"/>
      <c r="M54" s="378">
        <v>0</v>
      </c>
      <c r="N54" s="379"/>
      <c r="O54" s="378">
        <v>0</v>
      </c>
      <c r="P54" s="379"/>
      <c r="Q54" s="380">
        <v>0.03</v>
      </c>
      <c r="R54" s="381"/>
      <c r="S54" s="371">
        <f>G54*(13-V54)*Q54/12*'Cows, heifers, &amp; bulls'!E20</f>
        <v>494</v>
      </c>
      <c r="T54" s="372"/>
      <c r="V54" s="53"/>
    </row>
    <row r="55" spans="2:20" ht="18">
      <c r="B55" s="25" t="s">
        <v>269</v>
      </c>
      <c r="C55" s="52" t="s">
        <v>140</v>
      </c>
      <c r="D55" s="80" t="str">
        <f>ROUND('Cows, heifers, &amp; bulls'!G20,0)&amp;" head"</f>
        <v>6 head</v>
      </c>
      <c r="E55" s="371" t="s">
        <v>147</v>
      </c>
      <c r="F55" s="372"/>
      <c r="G55" s="81">
        <v>1750</v>
      </c>
      <c r="H55" s="81"/>
      <c r="I55" s="374" t="s">
        <v>111</v>
      </c>
      <c r="J55" s="375"/>
      <c r="K55" s="376" t="s">
        <v>147</v>
      </c>
      <c r="L55" s="377"/>
      <c r="M55" s="378">
        <v>0</v>
      </c>
      <c r="N55" s="379"/>
      <c r="O55" s="378">
        <v>0</v>
      </c>
      <c r="P55" s="379"/>
      <c r="Q55" s="380">
        <v>0.03</v>
      </c>
      <c r="R55" s="381"/>
      <c r="S55" s="371">
        <f>G55*(13-V55)*Q55/12*'Cows, heifers, &amp; bulls'!G20</f>
        <v>341.25</v>
      </c>
      <c r="T55" s="372"/>
    </row>
    <row r="56" spans="2:22" ht="18">
      <c r="B56" s="25" t="s">
        <v>196</v>
      </c>
      <c r="C56" s="44" t="s">
        <v>230</v>
      </c>
      <c r="D56" s="80" t="str">
        <f>'Cows, heifers, &amp; bulls'!K10&amp;" head"</f>
        <v>0 head</v>
      </c>
      <c r="E56" s="373">
        <v>1825</v>
      </c>
      <c r="F56" s="373"/>
      <c r="G56" s="81">
        <v>1750</v>
      </c>
      <c r="H56" s="81"/>
      <c r="I56" s="374" t="s">
        <v>111</v>
      </c>
      <c r="J56" s="375"/>
      <c r="K56" s="376" t="s">
        <v>147</v>
      </c>
      <c r="L56" s="377"/>
      <c r="M56" s="378">
        <v>0</v>
      </c>
      <c r="N56" s="379"/>
      <c r="O56" s="378">
        <v>0</v>
      </c>
      <c r="P56" s="379"/>
      <c r="Q56" s="380">
        <v>0.03</v>
      </c>
      <c r="R56" s="381"/>
      <c r="S56" s="371">
        <v>0</v>
      </c>
      <c r="T56" s="372"/>
      <c r="V56" s="53"/>
    </row>
    <row r="57" spans="2:20" ht="18">
      <c r="B57" s="25" t="s">
        <v>197</v>
      </c>
      <c r="C57" s="44" t="s">
        <v>132</v>
      </c>
      <c r="D57" s="80" t="str">
        <f>'Cows, heifers, &amp; bulls'!K12&amp;" head"</f>
        <v>3 head</v>
      </c>
      <c r="E57" s="373">
        <v>1825</v>
      </c>
      <c r="F57" s="373"/>
      <c r="G57" s="385">
        <v>3000</v>
      </c>
      <c r="H57" s="385"/>
      <c r="I57" s="386">
        <v>4</v>
      </c>
      <c r="J57" s="386"/>
      <c r="K57" s="371">
        <v>881.25</v>
      </c>
      <c r="L57" s="372"/>
      <c r="M57" s="378">
        <v>60</v>
      </c>
      <c r="N57" s="379"/>
      <c r="O57" s="378">
        <v>85</v>
      </c>
      <c r="P57" s="379"/>
      <c r="Q57" s="380">
        <v>0.03</v>
      </c>
      <c r="R57" s="381"/>
      <c r="S57" s="371">
        <v>270</v>
      </c>
      <c r="T57" s="372"/>
    </row>
    <row r="58" spans="2:20" ht="18">
      <c r="B58" s="25" t="str">
        <f>Pastures!E4&amp;" pasture"</f>
        <v>Native pasture</v>
      </c>
      <c r="C58" s="44"/>
      <c r="D58" s="80" t="str">
        <f>Pastures!E5&amp;" acres"</f>
        <v>1000 acres</v>
      </c>
      <c r="E58" s="374" t="s">
        <v>111</v>
      </c>
      <c r="F58" s="375"/>
      <c r="G58" s="371">
        <f>Pastures!E7</f>
        <v>1100</v>
      </c>
      <c r="H58" s="372"/>
      <c r="I58" s="374" t="s">
        <v>111</v>
      </c>
      <c r="J58" s="375"/>
      <c r="K58" s="376" t="s">
        <v>147</v>
      </c>
      <c r="L58" s="377"/>
      <c r="M58" s="447" t="s">
        <v>111</v>
      </c>
      <c r="N58" s="448"/>
      <c r="O58" s="433">
        <f>Pastures!E9*Pastures!E5</f>
        <v>2000</v>
      </c>
      <c r="P58" s="434"/>
      <c r="Q58" s="380">
        <v>0.03</v>
      </c>
      <c r="R58" s="381"/>
      <c r="S58" s="371">
        <v>33000</v>
      </c>
      <c r="T58" s="372"/>
    </row>
    <row r="59" spans="2:20" ht="18">
      <c r="B59" s="25" t="str">
        <f>Pastures!G4&amp;" pasture"</f>
        <v>Bermuda pasture</v>
      </c>
      <c r="C59" s="44"/>
      <c r="D59" s="80" t="str">
        <f>Pastures!G5&amp;" acres"</f>
        <v>200 acres</v>
      </c>
      <c r="E59" s="374" t="s">
        <v>111</v>
      </c>
      <c r="F59" s="375"/>
      <c r="G59" s="371">
        <f>Pastures!G7</f>
        <v>1500</v>
      </c>
      <c r="H59" s="372"/>
      <c r="I59" s="374" t="s">
        <v>111</v>
      </c>
      <c r="J59" s="375"/>
      <c r="K59" s="374" t="s">
        <v>111</v>
      </c>
      <c r="L59" s="375"/>
      <c r="M59" s="447" t="s">
        <v>111</v>
      </c>
      <c r="N59" s="448"/>
      <c r="O59" s="433">
        <f>Pastures!G9*Pastures!G5</f>
        <v>400</v>
      </c>
      <c r="P59" s="434"/>
      <c r="Q59" s="380">
        <v>0.03</v>
      </c>
      <c r="R59" s="381"/>
      <c r="S59" s="371">
        <v>9000</v>
      </c>
      <c r="T59" s="372"/>
    </row>
    <row r="60" spans="2:20" ht="18">
      <c r="B60" s="25" t="str">
        <f>Pastures!I4&amp;" pasture"</f>
        <v>Wheat pasture</v>
      </c>
      <c r="C60" s="44"/>
      <c r="D60" s="80" t="str">
        <f>Pastures!I5&amp;" acres"</f>
        <v>0 acres</v>
      </c>
      <c r="E60" s="374" t="s">
        <v>111</v>
      </c>
      <c r="F60" s="375"/>
      <c r="G60" s="371">
        <f>Pastures!I7</f>
        <v>2000</v>
      </c>
      <c r="H60" s="372"/>
      <c r="I60" s="374" t="s">
        <v>111</v>
      </c>
      <c r="J60" s="375"/>
      <c r="K60" s="374" t="s">
        <v>111</v>
      </c>
      <c r="L60" s="375"/>
      <c r="M60" s="447" t="s">
        <v>111</v>
      </c>
      <c r="N60" s="448"/>
      <c r="O60" s="433">
        <f>Pastures!I9*Pastures!I5</f>
        <v>0</v>
      </c>
      <c r="P60" s="434"/>
      <c r="Q60" s="380">
        <v>0.03</v>
      </c>
      <c r="R60" s="381"/>
      <c r="S60" s="371">
        <v>0</v>
      </c>
      <c r="T60" s="372"/>
    </row>
    <row r="61" spans="2:20" ht="18">
      <c r="B61" s="25" t="str">
        <f>Pastures!K4&amp;" pasture"</f>
        <v>Native- purch pasture</v>
      </c>
      <c r="C61" s="44"/>
      <c r="D61" s="80" t="str">
        <f>Pastures!K5&amp;" acres"</f>
        <v>0 acres</v>
      </c>
      <c r="E61" s="374" t="s">
        <v>111</v>
      </c>
      <c r="F61" s="375"/>
      <c r="G61" s="371">
        <f>Pastures!K7</f>
        <v>1100</v>
      </c>
      <c r="H61" s="372"/>
      <c r="I61" s="374" t="s">
        <v>111</v>
      </c>
      <c r="J61" s="375"/>
      <c r="K61" s="374" t="s">
        <v>111</v>
      </c>
      <c r="L61" s="375"/>
      <c r="M61" s="447" t="s">
        <v>111</v>
      </c>
      <c r="N61" s="448"/>
      <c r="O61" s="433">
        <f>Pastures!K9*Pastures!K5</f>
        <v>0</v>
      </c>
      <c r="P61" s="434"/>
      <c r="Q61" s="380">
        <v>0.03</v>
      </c>
      <c r="R61" s="381"/>
      <c r="S61" s="371">
        <v>0</v>
      </c>
      <c r="T61" s="372"/>
    </row>
    <row r="62" spans="2:20" ht="18">
      <c r="B62" s="25" t="str">
        <f>Pastures!M4&amp;" pasture"</f>
        <v>Fescue pasture</v>
      </c>
      <c r="C62" s="44"/>
      <c r="D62" s="80" t="str">
        <f>Pastures!M5&amp;" acres"</f>
        <v>0 acres</v>
      </c>
      <c r="E62" s="374" t="s">
        <v>111</v>
      </c>
      <c r="F62" s="375"/>
      <c r="G62" s="371">
        <f>Pastures!M7</f>
        <v>1700</v>
      </c>
      <c r="H62" s="372"/>
      <c r="I62" s="374" t="s">
        <v>111</v>
      </c>
      <c r="J62" s="375"/>
      <c r="K62" s="374" t="s">
        <v>111</v>
      </c>
      <c r="L62" s="375"/>
      <c r="M62" s="447" t="s">
        <v>111</v>
      </c>
      <c r="N62" s="448"/>
      <c r="O62" s="433">
        <f>Pastures!M9*Pastures!M5</f>
        <v>0</v>
      </c>
      <c r="P62" s="434"/>
      <c r="Q62" s="380">
        <v>0.03</v>
      </c>
      <c r="R62" s="381"/>
      <c r="S62" s="371">
        <v>0</v>
      </c>
      <c r="T62" s="372"/>
    </row>
    <row r="63" spans="2:20" ht="18">
      <c r="B63" s="25" t="s">
        <v>141</v>
      </c>
      <c r="C63" s="44"/>
      <c r="D63" s="26"/>
      <c r="E63" s="449"/>
      <c r="F63" s="450"/>
      <c r="G63" s="449"/>
      <c r="H63" s="450"/>
      <c r="I63" s="449"/>
      <c r="J63" s="450"/>
      <c r="K63" s="371">
        <f>K49+K57</f>
        <v>881.25</v>
      </c>
      <c r="L63" s="453"/>
      <c r="M63" s="371">
        <f>SUM(M49:N58)</f>
        <v>450</v>
      </c>
      <c r="N63" s="453"/>
      <c r="O63" s="371">
        <f>SUM(O48:P62)</f>
        <v>3810</v>
      </c>
      <c r="P63" s="453"/>
      <c r="Q63" s="451"/>
      <c r="R63" s="452"/>
      <c r="S63" s="371">
        <v>0</v>
      </c>
      <c r="T63" s="372"/>
    </row>
  </sheetData>
  <mergeCells count="239">
    <mergeCell ref="E63:F63"/>
    <mergeCell ref="I63:J63"/>
    <mergeCell ref="Q63:R63"/>
    <mergeCell ref="O63:P63"/>
    <mergeCell ref="G59:H59"/>
    <mergeCell ref="G60:H60"/>
    <mergeCell ref="G61:H61"/>
    <mergeCell ref="G62:H62"/>
    <mergeCell ref="G63:H63"/>
    <mergeCell ref="K63:L63"/>
    <mergeCell ref="M63:N63"/>
    <mergeCell ref="M59:N59"/>
    <mergeCell ref="M60:N60"/>
    <mergeCell ref="M61:N61"/>
    <mergeCell ref="M62:N62"/>
    <mergeCell ref="K59:L59"/>
    <mergeCell ref="E59:F59"/>
    <mergeCell ref="E60:F60"/>
    <mergeCell ref="E61:F61"/>
    <mergeCell ref="E62:F62"/>
    <mergeCell ref="K62:L62"/>
    <mergeCell ref="I59:J59"/>
    <mergeCell ref="I60:J60"/>
    <mergeCell ref="I61:J61"/>
    <mergeCell ref="S61:T61"/>
    <mergeCell ref="Q53:R53"/>
    <mergeCell ref="M52:N52"/>
    <mergeCell ref="M56:N56"/>
    <mergeCell ref="M58:N58"/>
    <mergeCell ref="K52:L52"/>
    <mergeCell ref="K56:L56"/>
    <mergeCell ref="K58:L58"/>
    <mergeCell ref="S53:T53"/>
    <mergeCell ref="O57:P57"/>
    <mergeCell ref="Q57:R57"/>
    <mergeCell ref="S57:T57"/>
    <mergeCell ref="K60:L60"/>
    <mergeCell ref="K61:L61"/>
    <mergeCell ref="S60:T60"/>
    <mergeCell ref="Q54:R54"/>
    <mergeCell ref="S54:T54"/>
    <mergeCell ref="S62:T62"/>
    <mergeCell ref="S63:T63"/>
    <mergeCell ref="O48:P48"/>
    <mergeCell ref="O50:P50"/>
    <mergeCell ref="O52:P52"/>
    <mergeCell ref="O56:P56"/>
    <mergeCell ref="O58:P58"/>
    <mergeCell ref="O59:P59"/>
    <mergeCell ref="O60:P60"/>
    <mergeCell ref="O61:P61"/>
    <mergeCell ref="O62:P62"/>
    <mergeCell ref="Q48:R48"/>
    <mergeCell ref="Q50:R50"/>
    <mergeCell ref="Q52:R52"/>
    <mergeCell ref="Q56:R56"/>
    <mergeCell ref="Q58:R58"/>
    <mergeCell ref="Q59:R59"/>
    <mergeCell ref="Q60:R60"/>
    <mergeCell ref="Q61:R61"/>
    <mergeCell ref="Q62:R62"/>
    <mergeCell ref="S52:T52"/>
    <mergeCell ref="S56:T56"/>
    <mergeCell ref="S58:T58"/>
    <mergeCell ref="S59:T59"/>
    <mergeCell ref="B2:J3"/>
    <mergeCell ref="E4:G5"/>
    <mergeCell ref="H4:J5"/>
    <mergeCell ref="E6:G6"/>
    <mergeCell ref="H6:J6"/>
    <mergeCell ref="B6:C6"/>
    <mergeCell ref="D4:D5"/>
    <mergeCell ref="B4:C5"/>
    <mergeCell ref="B35:D35"/>
    <mergeCell ref="B21:D21"/>
    <mergeCell ref="B22:D22"/>
    <mergeCell ref="B19:C19"/>
    <mergeCell ref="B20:C20"/>
    <mergeCell ref="H19:J19"/>
    <mergeCell ref="H20:J20"/>
    <mergeCell ref="E19:G19"/>
    <mergeCell ref="E20:G20"/>
    <mergeCell ref="E21:G21"/>
    <mergeCell ref="B15:C16"/>
    <mergeCell ref="D15:D16"/>
    <mergeCell ref="E15:G16"/>
    <mergeCell ref="B32:D32"/>
    <mergeCell ref="I33:K33"/>
    <mergeCell ref="B10:D10"/>
    <mergeCell ref="B40:D40"/>
    <mergeCell ref="B38:K39"/>
    <mergeCell ref="B27:C27"/>
    <mergeCell ref="I47:J47"/>
    <mergeCell ref="I48:J48"/>
    <mergeCell ref="I50:J50"/>
    <mergeCell ref="B45:T46"/>
    <mergeCell ref="E50:F50"/>
    <mergeCell ref="G47:H47"/>
    <mergeCell ref="G48:H48"/>
    <mergeCell ref="G49:H49"/>
    <mergeCell ref="E47:F47"/>
    <mergeCell ref="E48:F48"/>
    <mergeCell ref="G50:H50"/>
    <mergeCell ref="M49:N49"/>
    <mergeCell ref="M50:N50"/>
    <mergeCell ref="E49:F49"/>
    <mergeCell ref="I49:J49"/>
    <mergeCell ref="K49:L49"/>
    <mergeCell ref="Q47:R47"/>
    <mergeCell ref="S47:T47"/>
    <mergeCell ref="S48:T48"/>
    <mergeCell ref="S50:T50"/>
    <mergeCell ref="B41:D41"/>
    <mergeCell ref="B12:C12"/>
    <mergeCell ref="E12:G12"/>
    <mergeCell ref="B29:M30"/>
    <mergeCell ref="B31:D31"/>
    <mergeCell ref="B36:D36"/>
    <mergeCell ref="B26:D26"/>
    <mergeCell ref="B17:C18"/>
    <mergeCell ref="B25:C25"/>
    <mergeCell ref="B23:C23"/>
    <mergeCell ref="B24:C24"/>
    <mergeCell ref="E23:G23"/>
    <mergeCell ref="E24:G24"/>
    <mergeCell ref="B34:D34"/>
    <mergeCell ref="B33:D33"/>
    <mergeCell ref="F33:H33"/>
    <mergeCell ref="F31:H31"/>
    <mergeCell ref="F32:H32"/>
    <mergeCell ref="D17:D18"/>
    <mergeCell ref="E17:G18"/>
    <mergeCell ref="H17:J18"/>
    <mergeCell ref="I32:K32"/>
    <mergeCell ref="I35:K35"/>
    <mergeCell ref="I36:K36"/>
    <mergeCell ref="I34:K34"/>
    <mergeCell ref="B43:D43"/>
    <mergeCell ref="F43:H43"/>
    <mergeCell ref="I43:K43"/>
    <mergeCell ref="L35:M35"/>
    <mergeCell ref="L36:M36"/>
    <mergeCell ref="F41:H41"/>
    <mergeCell ref="F42:H42"/>
    <mergeCell ref="B42:D42"/>
    <mergeCell ref="B7:C7"/>
    <mergeCell ref="E11:G11"/>
    <mergeCell ref="H11:J11"/>
    <mergeCell ref="E7:G7"/>
    <mergeCell ref="H7:J7"/>
    <mergeCell ref="E8:G8"/>
    <mergeCell ref="H8:J8"/>
    <mergeCell ref="E9:G9"/>
    <mergeCell ref="H9:J9"/>
    <mergeCell ref="B8:C8"/>
    <mergeCell ref="B9:C9"/>
    <mergeCell ref="B11:C11"/>
    <mergeCell ref="B14:C14"/>
    <mergeCell ref="B13:C13"/>
    <mergeCell ref="E13:G13"/>
    <mergeCell ref="H13:J13"/>
    <mergeCell ref="I62:J62"/>
    <mergeCell ref="E10:J10"/>
    <mergeCell ref="E22:G22"/>
    <mergeCell ref="H21:J21"/>
    <mergeCell ref="H22:J22"/>
    <mergeCell ref="E14:G14"/>
    <mergeCell ref="H14:J14"/>
    <mergeCell ref="H15:J16"/>
    <mergeCell ref="E27:G27"/>
    <mergeCell ref="H27:J27"/>
    <mergeCell ref="E25:G25"/>
    <mergeCell ref="H23:J23"/>
    <mergeCell ref="H24:J24"/>
    <mergeCell ref="H25:J25"/>
    <mergeCell ref="H12:J12"/>
    <mergeCell ref="I41:K41"/>
    <mergeCell ref="I42:K42"/>
    <mergeCell ref="K47:L47"/>
    <mergeCell ref="F35:H35"/>
    <mergeCell ref="F36:H36"/>
    <mergeCell ref="F40:H40"/>
    <mergeCell ref="L33:M33"/>
    <mergeCell ref="L31:M31"/>
    <mergeCell ref="L32:M32"/>
    <mergeCell ref="O47:P47"/>
    <mergeCell ref="I52:J52"/>
    <mergeCell ref="I56:J56"/>
    <mergeCell ref="K48:L48"/>
    <mergeCell ref="K50:L50"/>
    <mergeCell ref="I31:K31"/>
    <mergeCell ref="I40:K40"/>
    <mergeCell ref="M47:N47"/>
    <mergeCell ref="M48:N48"/>
    <mergeCell ref="F34:H34"/>
    <mergeCell ref="L34:M34"/>
    <mergeCell ref="O49:P49"/>
    <mergeCell ref="Q49:R49"/>
    <mergeCell ref="Q51:R51"/>
    <mergeCell ref="S49:T49"/>
    <mergeCell ref="E58:F58"/>
    <mergeCell ref="E51:F51"/>
    <mergeCell ref="G51:H51"/>
    <mergeCell ref="I51:J51"/>
    <mergeCell ref="K51:L51"/>
    <mergeCell ref="M51:N51"/>
    <mergeCell ref="O51:P51"/>
    <mergeCell ref="E57:F57"/>
    <mergeCell ref="I57:J57"/>
    <mergeCell ref="K57:L57"/>
    <mergeCell ref="M57:N57"/>
    <mergeCell ref="I58:J58"/>
    <mergeCell ref="G58:H58"/>
    <mergeCell ref="G52:H52"/>
    <mergeCell ref="G56:H56"/>
    <mergeCell ref="G57:H57"/>
    <mergeCell ref="E56:F56"/>
    <mergeCell ref="E54:F54"/>
    <mergeCell ref="E55:F55"/>
    <mergeCell ref="S51:T51"/>
    <mergeCell ref="E53:F53"/>
    <mergeCell ref="G53:H53"/>
    <mergeCell ref="I53:J53"/>
    <mergeCell ref="K53:L53"/>
    <mergeCell ref="M53:N53"/>
    <mergeCell ref="O53:P53"/>
    <mergeCell ref="E52:F52"/>
    <mergeCell ref="K54:L54"/>
    <mergeCell ref="M54:N54"/>
    <mergeCell ref="O54:P54"/>
    <mergeCell ref="G54:H54"/>
    <mergeCell ref="I54:J54"/>
    <mergeCell ref="G55:H55"/>
    <mergeCell ref="I55:J55"/>
    <mergeCell ref="K55:L55"/>
    <mergeCell ref="M55:N55"/>
    <mergeCell ref="O55:P55"/>
    <mergeCell ref="Q55:R55"/>
    <mergeCell ref="S55:T55"/>
  </mergeCells>
  <dataValidations count="7" xWindow="705" yWindow="871">
    <dataValidation allowBlank="1" showInputMessage="1" showErrorMessage="1" prompt="Enter expected cull revenue in $/head." sqref="E56:F57"/>
    <dataValidation allowBlank="1" showInputMessage="1" showErrorMessage="1" prompt="Enter the expected cull age (years) for breeding livestock." sqref="I57:J57 I49:J49"/>
    <dataValidation allowBlank="1" showInputMessage="1" showErrorMessage="1" prompt="Enter insurance and taxes on the total number of animals." sqref="M48:N57"/>
    <dataValidation allowBlank="1" showInputMessage="1" showErrorMessage="1" prompt="Enter total taxes paid." sqref="O48:P57"/>
    <dataValidation allowBlank="1" showInputMessage="1" showErrorMessage="1" prompt="Total overhead allocated must be less than or equal to 100%." sqref="I35:K36"/>
    <dataValidation type="decimal" operator="greaterThan" allowBlank="1" showInputMessage="1" showErrorMessage="1" prompt="Enter a non-negative value." sqref="Q48:R62">
      <formula1>0</formula1>
    </dataValidation>
    <dataValidation allowBlank="1" showInputMessage="1" showErrorMessage="1" prompt="Enter expected cull revenue in $/head." sqref="E48:F53"/>
  </dataValidations>
  <printOptions/>
  <pageMargins left="0.7" right="0.7" top="0.75" bottom="0.75" header="0.3" footer="0.3"/>
  <pageSetup fitToHeight="1" fitToWidth="1" horizontalDpi="600" verticalDpi="600" orientation="landscape" scale="4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R49"/>
  <sheetViews>
    <sheetView zoomScale="75" zoomScaleNormal="75" workbookViewId="0" topLeftCell="A1"/>
  </sheetViews>
  <sheetFormatPr defaultColWidth="9.140625" defaultRowHeight="15"/>
  <cols>
    <col min="1" max="1" width="2.28125" style="0" customWidth="1"/>
    <col min="5" max="5" width="18.28125" style="0" customWidth="1"/>
    <col min="10" max="10" width="5.7109375" style="0" customWidth="1"/>
    <col min="14" max="14" width="17.140625" style="0" customWidth="1"/>
  </cols>
  <sheetData>
    <row r="1" ht="9.75" customHeight="1"/>
    <row r="2" spans="2:18" ht="15">
      <c r="B2" s="171" t="s">
        <v>284</v>
      </c>
      <c r="C2" s="172"/>
      <c r="D2" s="172"/>
      <c r="E2" s="172"/>
      <c r="F2" s="172"/>
      <c r="G2" s="172"/>
      <c r="H2" s="172"/>
      <c r="I2" s="173"/>
      <c r="K2" s="171" t="s">
        <v>285</v>
      </c>
      <c r="L2" s="172"/>
      <c r="M2" s="172"/>
      <c r="N2" s="172"/>
      <c r="O2" s="172"/>
      <c r="P2" s="172"/>
      <c r="Q2" s="172"/>
      <c r="R2" s="173"/>
    </row>
    <row r="3" spans="2:18" ht="15">
      <c r="B3" s="477"/>
      <c r="C3" s="478"/>
      <c r="D3" s="478"/>
      <c r="E3" s="478"/>
      <c r="F3" s="478"/>
      <c r="G3" s="478"/>
      <c r="H3" s="478"/>
      <c r="I3" s="479"/>
      <c r="K3" s="477"/>
      <c r="L3" s="478"/>
      <c r="M3" s="478"/>
      <c r="N3" s="478"/>
      <c r="O3" s="478"/>
      <c r="P3" s="478"/>
      <c r="Q3" s="478"/>
      <c r="R3" s="479"/>
    </row>
    <row r="4" spans="2:18" ht="18">
      <c r="B4" s="175"/>
      <c r="C4" s="389"/>
      <c r="D4" s="389"/>
      <c r="E4" s="176"/>
      <c r="F4" s="169" t="s">
        <v>290</v>
      </c>
      <c r="G4" s="169"/>
      <c r="H4" s="169" t="s">
        <v>95</v>
      </c>
      <c r="I4" s="169"/>
      <c r="J4" s="2"/>
      <c r="K4" s="175"/>
      <c r="L4" s="389"/>
      <c r="M4" s="389"/>
      <c r="N4" s="176"/>
      <c r="O4" s="169" t="s">
        <v>290</v>
      </c>
      <c r="P4" s="169"/>
      <c r="Q4" s="169" t="s">
        <v>95</v>
      </c>
      <c r="R4" s="169"/>
    </row>
    <row r="5" spans="2:18" ht="18">
      <c r="B5" s="95" t="s">
        <v>94</v>
      </c>
      <c r="C5" s="96"/>
      <c r="D5" s="96"/>
      <c r="E5" s="97"/>
      <c r="F5" s="465"/>
      <c r="G5" s="466"/>
      <c r="H5" s="466"/>
      <c r="I5" s="467"/>
      <c r="J5" s="2"/>
      <c r="K5" s="95" t="s">
        <v>94</v>
      </c>
      <c r="L5" s="96"/>
      <c r="M5" s="96"/>
      <c r="N5" s="97"/>
      <c r="O5" s="465"/>
      <c r="P5" s="466"/>
      <c r="Q5" s="466"/>
      <c r="R5" s="467"/>
    </row>
    <row r="6" spans="2:18" ht="18">
      <c r="B6" s="456" t="s">
        <v>219</v>
      </c>
      <c r="C6" s="457"/>
      <c r="D6" s="457"/>
      <c r="E6" s="458"/>
      <c r="F6" s="81">
        <f>Calves!M26+Calves!M27+Calves!M29+Calves!M30</f>
        <v>56645</v>
      </c>
      <c r="G6" s="81"/>
      <c r="H6" s="81">
        <f>F6+Calves!I6*Calves!I8*Calves!I9/100+Calves!K6*Calves!K8*Calves!K9/100+'Cows, heifers, &amp; bulls'!E20*'Overhead &amp; interest'!G54+'Overhead &amp; interest'!G55*'Cows, heifers, &amp; bulls'!G20</f>
        <v>82345</v>
      </c>
      <c r="I6" s="81"/>
      <c r="J6" s="2"/>
      <c r="K6" s="456" t="s">
        <v>224</v>
      </c>
      <c r="L6" s="457"/>
      <c r="M6" s="457"/>
      <c r="N6" s="458"/>
      <c r="O6" s="81">
        <f>Calves!M35+Calves!M36</f>
        <v>0</v>
      </c>
      <c r="P6" s="81"/>
      <c r="Q6" s="81">
        <f>O6</f>
        <v>0</v>
      </c>
      <c r="R6" s="81"/>
    </row>
    <row r="7" spans="2:18" ht="18">
      <c r="B7" s="456" t="s">
        <v>146</v>
      </c>
      <c r="C7" s="457"/>
      <c r="D7" s="457"/>
      <c r="E7" s="458"/>
      <c r="F7" s="81">
        <f>'Cows, heifers, &amp; bulls'!N45</f>
        <v>24452</v>
      </c>
      <c r="G7" s="81"/>
      <c r="H7" s="81">
        <f>F7-SUM(calcs!K35:K37)</f>
        <v>21302</v>
      </c>
      <c r="I7" s="81"/>
      <c r="J7" s="2"/>
      <c r="K7" s="456" t="s">
        <v>225</v>
      </c>
      <c r="L7" s="457"/>
      <c r="M7" s="457"/>
      <c r="N7" s="458"/>
      <c r="O7" s="371">
        <f>Calves!M32+Calves!M33</f>
        <v>-4.2740850858535834E-12</v>
      </c>
      <c r="P7" s="372"/>
      <c r="Q7" s="81">
        <f>O7</f>
        <v>-4.2740850858535834E-12</v>
      </c>
      <c r="R7" s="81"/>
    </row>
    <row r="8" spans="2:18" ht="18">
      <c r="B8" s="456" t="s">
        <v>282</v>
      </c>
      <c r="C8" s="457"/>
      <c r="D8" s="457"/>
      <c r="E8" s="458"/>
      <c r="F8" s="371" t="s">
        <v>147</v>
      </c>
      <c r="G8" s="372"/>
      <c r="H8" s="81">
        <f>'Cows, heifers, &amp; bulls'!I10*('Overhead &amp; interest'!G50-'Overhead &amp; interest'!G52)+'Cows, heifers, &amp; bulls'!I12*('Overhead &amp; interest'!G51-'Overhead &amp; interest'!G53)</f>
        <v>3750</v>
      </c>
      <c r="I8" s="81"/>
      <c r="J8" s="2"/>
      <c r="K8" s="470" t="s">
        <v>167</v>
      </c>
      <c r="L8" s="471"/>
      <c r="M8" s="471"/>
      <c r="N8" s="472"/>
      <c r="O8" s="468">
        <f>O6+O7</f>
        <v>-4.2740850858535834E-12</v>
      </c>
      <c r="P8" s="468"/>
      <c r="Q8" s="468">
        <f>Q7+Q6</f>
        <v>-4.2740850858535834E-12</v>
      </c>
      <c r="R8" s="468"/>
    </row>
    <row r="9" spans="2:18" ht="18">
      <c r="B9" s="470" t="s">
        <v>96</v>
      </c>
      <c r="C9" s="471"/>
      <c r="D9" s="471"/>
      <c r="E9" s="472"/>
      <c r="F9" s="468">
        <f>F6+F7</f>
        <v>81097</v>
      </c>
      <c r="G9" s="468"/>
      <c r="H9" s="468">
        <f>SUM(H6:I8)</f>
        <v>107397</v>
      </c>
      <c r="I9" s="468"/>
      <c r="J9" s="2"/>
      <c r="K9" s="95" t="s">
        <v>154</v>
      </c>
      <c r="L9" s="96"/>
      <c r="M9" s="96"/>
      <c r="N9" s="97"/>
      <c r="O9" s="462"/>
      <c r="P9" s="463"/>
      <c r="Q9" s="463"/>
      <c r="R9" s="464"/>
    </row>
    <row r="10" spans="2:18" ht="18">
      <c r="B10" s="95" t="s">
        <v>154</v>
      </c>
      <c r="C10" s="96"/>
      <c r="D10" s="96"/>
      <c r="E10" s="97"/>
      <c r="F10" s="462"/>
      <c r="G10" s="463"/>
      <c r="H10" s="463"/>
      <c r="I10" s="464"/>
      <c r="J10" s="2"/>
      <c r="K10" s="456" t="s">
        <v>155</v>
      </c>
      <c r="L10" s="457"/>
      <c r="M10" s="457"/>
      <c r="N10" s="458"/>
      <c r="O10" s="81">
        <f>Calves!E6*Calves!E8*Calves!E9/100+Calves!G6*Calves!G8*Calves!G9/100</f>
        <v>0</v>
      </c>
      <c r="P10" s="81"/>
      <c r="Q10" s="81">
        <f>Calves!E6*Calves!E8*Calves!E9/100+Calves!G6*Calves!G8*Calves!G9/100+Calves!I6*Calves!I8*Calves!I9/100+Calves!K6*Calves!K8*Calves!K9/100</f>
        <v>-2.953193245502915E-12</v>
      </c>
      <c r="R10" s="81"/>
    </row>
    <row r="11" spans="2:18" ht="18">
      <c r="B11" s="456" t="s">
        <v>97</v>
      </c>
      <c r="C11" s="457"/>
      <c r="D11" s="457"/>
      <c r="E11" s="458"/>
      <c r="F11" s="81">
        <f>SUMPRODUCT(calcs!E5:H5,Pastures!E24:H24)+SUMPRODUCT(Pastures!I24:N24,calcs!K7:P7)</f>
        <v>0</v>
      </c>
      <c r="G11" s="81"/>
      <c r="H11" s="81">
        <f aca="true" t="shared" si="0" ref="H11:H15">F11</f>
        <v>0</v>
      </c>
      <c r="I11" s="81"/>
      <c r="J11" s="2"/>
      <c r="K11" s="456" t="s">
        <v>97</v>
      </c>
      <c r="L11" s="457"/>
      <c r="M11" s="457"/>
      <c r="N11" s="458"/>
      <c r="O11" s="81">
        <f>SUMPRODUCT(Pastures!E24:H24,calcs!E6:H6)+SUMPRODUCT(calcs!K6:P6,Pastures!I24:N24)</f>
        <v>0</v>
      </c>
      <c r="P11" s="81"/>
      <c r="Q11" s="81">
        <f aca="true" t="shared" si="1" ref="Q11:Q17">O11</f>
        <v>0</v>
      </c>
      <c r="R11" s="81"/>
    </row>
    <row r="12" spans="2:18" ht="18">
      <c r="B12" s="456" t="s">
        <v>98</v>
      </c>
      <c r="C12" s="457"/>
      <c r="D12" s="457"/>
      <c r="E12" s="458"/>
      <c r="F12" s="81">
        <f>SUMPRODUCT(Pastures!E57:P57,Pastures!E63:P63)</f>
        <v>16800</v>
      </c>
      <c r="G12" s="81"/>
      <c r="H12" s="81">
        <f t="shared" si="0"/>
        <v>16800</v>
      </c>
      <c r="I12" s="81"/>
      <c r="J12" s="2"/>
      <c r="K12" s="456" t="s">
        <v>98</v>
      </c>
      <c r="L12" s="457"/>
      <c r="M12" s="457"/>
      <c r="N12" s="458"/>
      <c r="O12" s="81">
        <f>SUMPRODUCT(Pastures!E57:P57,Pastures!E64:P64)</f>
        <v>0</v>
      </c>
      <c r="P12" s="81"/>
      <c r="Q12" s="81">
        <f t="shared" si="1"/>
        <v>0</v>
      </c>
      <c r="R12" s="81"/>
    </row>
    <row r="13" spans="2:18" ht="18">
      <c r="B13" s="456" t="s">
        <v>103</v>
      </c>
      <c r="C13" s="457"/>
      <c r="D13" s="457"/>
      <c r="E13" s="458"/>
      <c r="F13" s="81">
        <f>'Feed, vet, &amp; breeding costs'!F16+'Feed, vet, &amp; breeding costs'!H16+'Feed, vet, &amp; breeding costs'!J16+'Feed, vet, &amp; breeding costs'!T16</f>
        <v>14422.32</v>
      </c>
      <c r="G13" s="81"/>
      <c r="H13" s="81">
        <f t="shared" si="0"/>
        <v>14422.32</v>
      </c>
      <c r="I13" s="81"/>
      <c r="J13" s="2"/>
      <c r="K13" s="456" t="s">
        <v>103</v>
      </c>
      <c r="L13" s="457"/>
      <c r="M13" s="457"/>
      <c r="N13" s="458"/>
      <c r="O13" s="81">
        <f>SUM('Feed, vet, &amp; breeding costs'!L16:S16)</f>
        <v>-5.6654680946621716E-15</v>
      </c>
      <c r="P13" s="81"/>
      <c r="Q13" s="81">
        <f t="shared" si="1"/>
        <v>-5.6654680946621716E-15</v>
      </c>
      <c r="R13" s="81"/>
    </row>
    <row r="14" spans="2:18" ht="18">
      <c r="B14" s="456" t="s">
        <v>112</v>
      </c>
      <c r="C14" s="457"/>
      <c r="D14" s="457"/>
      <c r="E14" s="458"/>
      <c r="F14" s="81">
        <f>'Feed, vet, &amp; breeding costs'!F30+'Feed, vet, &amp; breeding costs'!H30+'Feed, vet, &amp; breeding costs'!J30+'Feed, vet, &amp; breeding costs'!T30</f>
        <v>2677.5</v>
      </c>
      <c r="G14" s="81"/>
      <c r="H14" s="81">
        <f t="shared" si="0"/>
        <v>2677.5</v>
      </c>
      <c r="I14" s="81"/>
      <c r="J14" s="2"/>
      <c r="K14" s="456" t="s">
        <v>112</v>
      </c>
      <c r="L14" s="457"/>
      <c r="M14" s="457"/>
      <c r="N14" s="458"/>
      <c r="O14" s="81">
        <f>SUM('Feed, vet, &amp; breeding costs'!L30:S30)</f>
        <v>0</v>
      </c>
      <c r="P14" s="81"/>
      <c r="Q14" s="81">
        <f t="shared" si="1"/>
        <v>0</v>
      </c>
      <c r="R14" s="81"/>
    </row>
    <row r="15" spans="2:18" ht="18">
      <c r="B15" s="233" t="s">
        <v>220</v>
      </c>
      <c r="C15" s="469"/>
      <c r="D15" s="469"/>
      <c r="E15" s="234"/>
      <c r="F15" s="81">
        <f>SUM('Overhead &amp; interest'!E11:G14)*'Overhead &amp; interest'!F35+SUM('Overhead &amp; interest'!H11:J14)*'Overhead &amp; interest'!F36</f>
        <v>3750</v>
      </c>
      <c r="G15" s="81"/>
      <c r="H15" s="81">
        <f t="shared" si="0"/>
        <v>3750</v>
      </c>
      <c r="I15" s="81"/>
      <c r="J15" s="2"/>
      <c r="K15" s="233" t="s">
        <v>109</v>
      </c>
      <c r="L15" s="469"/>
      <c r="M15" s="469"/>
      <c r="N15" s="234"/>
      <c r="O15" s="81">
        <f>SUM('Overhead &amp; interest'!E11:J14)*'Overhead &amp; interest'!I35</f>
        <v>0</v>
      </c>
      <c r="P15" s="81"/>
      <c r="Q15" s="81">
        <f t="shared" si="1"/>
        <v>0</v>
      </c>
      <c r="R15" s="81"/>
    </row>
    <row r="16" spans="2:18" ht="18">
      <c r="B16" s="456" t="s">
        <v>88</v>
      </c>
      <c r="C16" s="457"/>
      <c r="D16" s="457"/>
      <c r="E16" s="458"/>
      <c r="F16" s="81">
        <f>'Overhead &amp; interest'!F32</f>
        <v>0</v>
      </c>
      <c r="G16" s="81"/>
      <c r="H16" s="81">
        <f>F16</f>
        <v>0</v>
      </c>
      <c r="I16" s="81"/>
      <c r="J16" s="2"/>
      <c r="K16" s="456" t="s">
        <v>88</v>
      </c>
      <c r="L16" s="457"/>
      <c r="M16" s="457"/>
      <c r="N16" s="458"/>
      <c r="O16" s="81">
        <f>'Overhead &amp; interest'!I32</f>
        <v>0</v>
      </c>
      <c r="P16" s="81"/>
      <c r="Q16" s="81">
        <f t="shared" si="1"/>
        <v>0</v>
      </c>
      <c r="R16" s="81"/>
    </row>
    <row r="17" spans="2:18" ht="18">
      <c r="B17" s="456" t="s">
        <v>104</v>
      </c>
      <c r="C17" s="457"/>
      <c r="D17" s="457"/>
      <c r="E17" s="458"/>
      <c r="F17" s="81">
        <f>'Overhead &amp; interest'!F34:H34</f>
        <v>0</v>
      </c>
      <c r="G17" s="81"/>
      <c r="H17" s="81">
        <f>F17</f>
        <v>0</v>
      </c>
      <c r="I17" s="81"/>
      <c r="J17" s="2"/>
      <c r="K17" s="456" t="s">
        <v>104</v>
      </c>
      <c r="L17" s="457"/>
      <c r="M17" s="457"/>
      <c r="N17" s="458"/>
      <c r="O17" s="81">
        <f>'Overhead &amp; interest'!I34</f>
        <v>0</v>
      </c>
      <c r="P17" s="81"/>
      <c r="Q17" s="81">
        <f t="shared" si="1"/>
        <v>0</v>
      </c>
      <c r="R17" s="81"/>
    </row>
    <row r="18" spans="2:18" ht="18">
      <c r="B18" s="456" t="s">
        <v>105</v>
      </c>
      <c r="C18" s="457"/>
      <c r="D18" s="457"/>
      <c r="E18" s="458"/>
      <c r="F18" s="462"/>
      <c r="G18" s="463"/>
      <c r="H18" s="463"/>
      <c r="I18" s="464"/>
      <c r="J18" s="2"/>
      <c r="K18" s="456" t="s">
        <v>105</v>
      </c>
      <c r="L18" s="457"/>
      <c r="M18" s="457"/>
      <c r="N18" s="458"/>
      <c r="O18" s="462"/>
      <c r="P18" s="463"/>
      <c r="Q18" s="463"/>
      <c r="R18" s="464"/>
    </row>
    <row r="19" spans="2:18" ht="18">
      <c r="B19" s="459" t="s">
        <v>106</v>
      </c>
      <c r="C19" s="460"/>
      <c r="D19" s="460"/>
      <c r="E19" s="461"/>
      <c r="F19" s="81">
        <f>SUM(F11:G17)*'Overhead &amp; interest'!F41:H41*'Overhead &amp; interest'!F42:H42/12*'Overhead &amp; interest'!F43:H43</f>
        <v>1323.6264843749998</v>
      </c>
      <c r="G19" s="81"/>
      <c r="H19" s="371">
        <f>F19</f>
        <v>1323.6264843749998</v>
      </c>
      <c r="I19" s="372"/>
      <c r="J19" s="2"/>
      <c r="K19" s="459" t="s">
        <v>106</v>
      </c>
      <c r="L19" s="460"/>
      <c r="M19" s="460"/>
      <c r="N19" s="461"/>
      <c r="O19" s="81">
        <f>SUM(O10:P17)*'Overhead &amp; interest'!I41*'Overhead &amp; interest'!I42/12*'Overhead &amp; interest'!I43</f>
        <v>-1.1803058530546192E-16</v>
      </c>
      <c r="P19" s="81"/>
      <c r="Q19" s="371">
        <f>O19</f>
        <v>-1.1803058530546192E-16</v>
      </c>
      <c r="R19" s="372"/>
    </row>
    <row r="20" spans="2:18" ht="18">
      <c r="B20" s="459" t="s">
        <v>107</v>
      </c>
      <c r="C20" s="460"/>
      <c r="D20" s="460"/>
      <c r="E20" s="461"/>
      <c r="F20" s="81">
        <f>SUMPRODUCT(Pastures!E17:J17,Pastures!E63:J63)+SUMPRODUCT(Pastures!M63:P63,Pastures!K17:N17)</f>
        <v>9996.06189249319</v>
      </c>
      <c r="G20" s="81"/>
      <c r="H20" s="371" t="s">
        <v>147</v>
      </c>
      <c r="I20" s="372"/>
      <c r="J20" s="2"/>
      <c r="K20" s="459" t="s">
        <v>107</v>
      </c>
      <c r="L20" s="460"/>
      <c r="M20" s="460"/>
      <c r="N20" s="461"/>
      <c r="O20" s="81">
        <f>SUMPRODUCT(Pastures!E17:J17,Pastures!E64:J64)+SUMPRODUCT(Pastures!M64:P64,Pastures!K17:N17)</f>
        <v>0</v>
      </c>
      <c r="P20" s="81"/>
      <c r="Q20" s="371" t="s">
        <v>147</v>
      </c>
      <c r="R20" s="372"/>
    </row>
    <row r="21" spans="2:18" ht="18">
      <c r="B21" s="459" t="s">
        <v>108</v>
      </c>
      <c r="C21" s="460"/>
      <c r="D21" s="460"/>
      <c r="E21" s="461"/>
      <c r="F21" s="81">
        <f>'Cows, heifers, &amp; bulls'!M28+'Cows, heifers, &amp; bulls'!S37</f>
        <v>108.02770448548814</v>
      </c>
      <c r="G21" s="81"/>
      <c r="H21" s="371" t="s">
        <v>147</v>
      </c>
      <c r="I21" s="372"/>
      <c r="J21" s="2"/>
      <c r="K21" s="459" t="s">
        <v>113</v>
      </c>
      <c r="L21" s="460"/>
      <c r="M21" s="460"/>
      <c r="N21" s="461"/>
      <c r="O21" s="81">
        <f>SUM(Calves!E21:H21)</f>
        <v>0</v>
      </c>
      <c r="P21" s="81"/>
      <c r="Q21" s="371" t="s">
        <v>147</v>
      </c>
      <c r="R21" s="372"/>
    </row>
    <row r="22" spans="2:18" ht="18">
      <c r="B22" s="459" t="s">
        <v>110</v>
      </c>
      <c r="C22" s="460"/>
      <c r="D22" s="460"/>
      <c r="E22" s="461"/>
      <c r="F22" s="81">
        <f>'Overhead &amp; interest'!E25*'Overhead &amp; interest'!F35+'Overhead &amp; interest'!H25*'Overhead &amp; interest'!F36</f>
        <v>1435.0057305260068</v>
      </c>
      <c r="G22" s="81"/>
      <c r="H22" s="371" t="s">
        <v>147</v>
      </c>
      <c r="I22" s="372"/>
      <c r="J22" s="2"/>
      <c r="K22" s="459" t="s">
        <v>110</v>
      </c>
      <c r="L22" s="460"/>
      <c r="M22" s="460"/>
      <c r="N22" s="461"/>
      <c r="O22" s="81">
        <f>'Overhead &amp; interest'!E25*'Overhead &amp; interest'!I35+'Overhead &amp; interest'!H25*'Overhead &amp; interest'!I36</f>
        <v>0</v>
      </c>
      <c r="P22" s="81"/>
      <c r="Q22" s="371" t="s">
        <v>147</v>
      </c>
      <c r="R22" s="372"/>
    </row>
    <row r="23" spans="2:18" ht="18">
      <c r="B23" s="456" t="s">
        <v>79</v>
      </c>
      <c r="C23" s="457"/>
      <c r="D23" s="457"/>
      <c r="E23" s="458"/>
      <c r="F23" s="81">
        <f>SUMPRODUCT(calcs!U10:V14,calcs!M18:N22)+SUM('Overhead &amp; interest'!O48:P57)</f>
        <v>1410</v>
      </c>
      <c r="G23" s="81"/>
      <c r="H23" s="81">
        <f>F23</f>
        <v>1410</v>
      </c>
      <c r="I23" s="81"/>
      <c r="J23" s="2"/>
      <c r="K23" s="456" t="s">
        <v>79</v>
      </c>
      <c r="L23" s="457"/>
      <c r="M23" s="457"/>
      <c r="N23" s="458"/>
      <c r="O23" s="81">
        <f>SUMPRODUCT(calcs!S10:T14,calcs!M18:N22)</f>
        <v>0</v>
      </c>
      <c r="P23" s="81"/>
      <c r="Q23" s="81">
        <f>O23</f>
        <v>0</v>
      </c>
      <c r="R23" s="81"/>
    </row>
    <row r="24" spans="2:18" ht="18">
      <c r="B24" s="456" t="s">
        <v>80</v>
      </c>
      <c r="C24" s="457"/>
      <c r="D24" s="457"/>
      <c r="E24" s="458"/>
      <c r="F24" s="81">
        <f>SUM('Overhead &amp; interest'!M48:M57)</f>
        <v>1150</v>
      </c>
      <c r="G24" s="81"/>
      <c r="H24" s="81">
        <f aca="true" t="shared" si="2" ref="H24">F24</f>
        <v>1150</v>
      </c>
      <c r="I24" s="81"/>
      <c r="J24" s="2"/>
      <c r="K24" s="233" t="s">
        <v>76</v>
      </c>
      <c r="L24" s="469"/>
      <c r="M24" s="469"/>
      <c r="N24" s="234"/>
      <c r="O24" s="371" t="s">
        <v>147</v>
      </c>
      <c r="P24" s="372"/>
      <c r="Q24" s="81">
        <f>'Overhead &amp; interest'!E15*'Overhead &amp; interest'!I35+'Overhead &amp; interest'!H15*'Overhead &amp; interest'!I36</f>
        <v>0</v>
      </c>
      <c r="R24" s="81"/>
    </row>
    <row r="25" spans="2:18" ht="18">
      <c r="B25" s="233" t="s">
        <v>221</v>
      </c>
      <c r="C25" s="469"/>
      <c r="D25" s="469"/>
      <c r="E25" s="234"/>
      <c r="F25" s="371" t="s">
        <v>147</v>
      </c>
      <c r="G25" s="372"/>
      <c r="H25" s="81">
        <f>'Overhead &amp; interest'!K63+calcs!H97+'Overhead &amp; interest'!F35*'Overhead &amp; interest'!E15+'Overhead &amp; interest'!F36*'Overhead &amp; interest'!H15</f>
        <v>9302.25</v>
      </c>
      <c r="I25" s="81"/>
      <c r="J25" s="2"/>
      <c r="K25" s="456" t="s">
        <v>259</v>
      </c>
      <c r="L25" s="457"/>
      <c r="M25" s="457"/>
      <c r="N25" s="458"/>
      <c r="O25" s="371" t="s">
        <v>147</v>
      </c>
      <c r="P25" s="372"/>
      <c r="Q25" s="81">
        <f>'Overhead &amp; interest'!I35*'Overhead &amp; interest'!E27+'Overhead &amp; interest'!I36*'Overhead &amp; interest'!H27+calcs!E20</f>
        <v>0</v>
      </c>
      <c r="R25" s="81"/>
    </row>
    <row r="26" spans="2:18" ht="18">
      <c r="B26" s="456" t="s">
        <v>259</v>
      </c>
      <c r="C26" s="457"/>
      <c r="D26" s="457"/>
      <c r="E26" s="458"/>
      <c r="F26" s="371" t="s">
        <v>147</v>
      </c>
      <c r="G26" s="372"/>
      <c r="H26" s="81">
        <f>SUM('Overhead &amp; interest'!S48:T57)+'Overhead &amp; interest'!F35*'Overhead &amp; interest'!E27+'Overhead &amp; interest'!F36*'Overhead &amp; interest'!H27+calcs!E19+SUMPRODUCT('Cows, heifers, &amp; bulls'!I33:J36,'Cows, heifers, &amp; bulls'!O33:P36)/12*'Overhead &amp; interest'!Q49</f>
        <v>48550.625</v>
      </c>
      <c r="I26" s="81"/>
      <c r="J26" s="2"/>
      <c r="K26" s="233" t="s">
        <v>175</v>
      </c>
      <c r="L26" s="469"/>
      <c r="M26" s="469"/>
      <c r="N26" s="234"/>
      <c r="O26" s="475" t="s">
        <v>147</v>
      </c>
      <c r="P26" s="476"/>
      <c r="Q26" s="475">
        <f>'Overhead &amp; interest'!I33</f>
        <v>0</v>
      </c>
      <c r="R26" s="476"/>
    </row>
    <row r="27" spans="2:18" ht="18">
      <c r="B27" s="233" t="s">
        <v>175</v>
      </c>
      <c r="C27" s="469"/>
      <c r="D27" s="469"/>
      <c r="E27" s="234"/>
      <c r="F27" s="475" t="s">
        <v>147</v>
      </c>
      <c r="G27" s="476"/>
      <c r="H27" s="81">
        <f>'Overhead &amp; interest'!F33</f>
        <v>15000</v>
      </c>
      <c r="I27" s="81"/>
      <c r="J27" s="2"/>
      <c r="K27" s="470" t="s">
        <v>166</v>
      </c>
      <c r="L27" s="471"/>
      <c r="M27" s="471"/>
      <c r="N27" s="472"/>
      <c r="O27" s="454">
        <f>SUM(O10:P17)+SUM(O19:P23)</f>
        <v>-5.7834986799676335E-15</v>
      </c>
      <c r="P27" s="455"/>
      <c r="Q27" s="454">
        <f>SUM(Q10:R18)+SUM(Q20:Q26)+Q19</f>
        <v>-2.9589767441828828E-12</v>
      </c>
      <c r="R27" s="455"/>
    </row>
    <row r="28" spans="2:18" ht="18">
      <c r="B28" s="480" t="s">
        <v>156</v>
      </c>
      <c r="C28" s="481"/>
      <c r="D28" s="481"/>
      <c r="E28" s="482"/>
      <c r="F28" s="454">
        <f>SUM(F12:G18)+SUM(F20:G25)</f>
        <v>51748.915327504685</v>
      </c>
      <c r="G28" s="455"/>
      <c r="H28" s="468">
        <f>SUM(H11:I18)+SUM(H20:I27)+H19</f>
        <v>114386.321484375</v>
      </c>
      <c r="I28" s="468"/>
      <c r="J28" s="2"/>
      <c r="K28" s="470" t="s">
        <v>288</v>
      </c>
      <c r="L28" s="471"/>
      <c r="M28" s="471"/>
      <c r="N28" s="472"/>
      <c r="O28" s="462"/>
      <c r="P28" s="463"/>
      <c r="Q28" s="463"/>
      <c r="R28" s="464"/>
    </row>
    <row r="29" spans="2:18" ht="18">
      <c r="B29" s="470" t="s">
        <v>288</v>
      </c>
      <c r="C29" s="471"/>
      <c r="D29" s="471"/>
      <c r="E29" s="472"/>
      <c r="F29" s="462"/>
      <c r="G29" s="463"/>
      <c r="H29" s="463"/>
      <c r="I29" s="464"/>
      <c r="J29" s="2"/>
      <c r="K29" s="456" t="s">
        <v>143</v>
      </c>
      <c r="L29" s="457"/>
      <c r="M29" s="457"/>
      <c r="N29" s="458"/>
      <c r="O29" s="475">
        <f>SUMPRODUCT(Pastures!E16:J16,Pastures!E64:J64)+SUMPRODUCT(Pastures!M64:P64,Pastures!K16:N16)</f>
        <v>0</v>
      </c>
      <c r="P29" s="476"/>
      <c r="Q29" s="371" t="s">
        <v>147</v>
      </c>
      <c r="R29" s="372"/>
    </row>
    <row r="30" spans="2:18" ht="18">
      <c r="B30" s="456" t="s">
        <v>142</v>
      </c>
      <c r="C30" s="457"/>
      <c r="D30" s="457"/>
      <c r="E30" s="458"/>
      <c r="F30" s="475">
        <f>'Cows, heifers, &amp; bulls'!Q37</f>
        <v>2850</v>
      </c>
      <c r="G30" s="476"/>
      <c r="H30" s="371" t="s">
        <v>147</v>
      </c>
      <c r="I30" s="372"/>
      <c r="J30" s="2"/>
      <c r="K30" s="233" t="s">
        <v>144</v>
      </c>
      <c r="L30" s="469"/>
      <c r="M30" s="469"/>
      <c r="N30" s="234"/>
      <c r="O30" s="475">
        <f>'Overhead &amp; interest'!I35*'Overhead &amp; interest'!E24+'Overhead &amp; interest'!H24*'Overhead &amp; interest'!I36</f>
        <v>0</v>
      </c>
      <c r="P30" s="476"/>
      <c r="Q30" s="371" t="s">
        <v>147</v>
      </c>
      <c r="R30" s="372"/>
    </row>
    <row r="31" spans="2:18" ht="18">
      <c r="B31" s="456" t="s">
        <v>176</v>
      </c>
      <c r="C31" s="457"/>
      <c r="D31" s="457"/>
      <c r="E31" s="458"/>
      <c r="F31" s="475">
        <f>'Cows, heifers, &amp; bulls'!M27</f>
        <v>874.0105540897084</v>
      </c>
      <c r="G31" s="476"/>
      <c r="H31" s="371" t="s">
        <v>147</v>
      </c>
      <c r="I31" s="372"/>
      <c r="J31" s="2"/>
      <c r="K31" s="470" t="s">
        <v>286</v>
      </c>
      <c r="L31" s="471"/>
      <c r="M31" s="471"/>
      <c r="N31" s="472"/>
      <c r="O31" s="473">
        <f>O8-O27-SUM(O29:P30)</f>
        <v>-4.268301587173616E-12</v>
      </c>
      <c r="P31" s="474"/>
      <c r="Q31" s="371" t="s">
        <v>147</v>
      </c>
      <c r="R31" s="372"/>
    </row>
    <row r="32" spans="2:18" ht="18">
      <c r="B32" s="456" t="s">
        <v>143</v>
      </c>
      <c r="C32" s="457"/>
      <c r="D32" s="457"/>
      <c r="E32" s="458"/>
      <c r="F32" s="475">
        <f>SUMPRODUCT(Pastures!E16:J16,Pastures!E63:J63)+SUMPRODUCT(Pastures!M63:P63,Pastures!K16:N16)</f>
        <v>4854.3482171217875</v>
      </c>
      <c r="G32" s="476"/>
      <c r="H32" s="371" t="s">
        <v>147</v>
      </c>
      <c r="I32" s="372"/>
      <c r="J32" s="2"/>
      <c r="K32" s="470" t="s">
        <v>215</v>
      </c>
      <c r="L32" s="471"/>
      <c r="M32" s="471"/>
      <c r="N32" s="472"/>
      <c r="O32" s="371" t="s">
        <v>147</v>
      </c>
      <c r="P32" s="372"/>
      <c r="Q32" s="473">
        <f>Q8-Q27</f>
        <v>-1.3151083416707007E-12</v>
      </c>
      <c r="R32" s="474"/>
    </row>
    <row r="33" spans="2:10" ht="18">
      <c r="B33" s="233" t="s">
        <v>144</v>
      </c>
      <c r="C33" s="469"/>
      <c r="D33" s="469"/>
      <c r="E33" s="234"/>
      <c r="F33" s="475">
        <f>'Overhead &amp; interest'!F35*'Overhead &amp; interest'!E24+'Overhead &amp; interest'!F36*'Overhead &amp; interest'!H24</f>
        <v>8171.359800319724</v>
      </c>
      <c r="G33" s="476"/>
      <c r="H33" s="371" t="s">
        <v>147</v>
      </c>
      <c r="I33" s="372"/>
      <c r="J33" s="2"/>
    </row>
    <row r="34" spans="2:10" ht="18">
      <c r="B34" s="470" t="s">
        <v>287</v>
      </c>
      <c r="C34" s="471"/>
      <c r="D34" s="471"/>
      <c r="E34" s="472"/>
      <c r="F34" s="468">
        <f>(F9-F28-SUM(F30:G33))</f>
        <v>12598.366100964093</v>
      </c>
      <c r="G34" s="468"/>
      <c r="H34" s="371" t="s">
        <v>147</v>
      </c>
      <c r="I34" s="372"/>
      <c r="J34" s="2"/>
    </row>
    <row r="35" spans="2:10" ht="18">
      <c r="B35" s="470" t="s">
        <v>215</v>
      </c>
      <c r="C35" s="471"/>
      <c r="D35" s="471"/>
      <c r="E35" s="472"/>
      <c r="F35" s="371" t="s">
        <v>147</v>
      </c>
      <c r="G35" s="372"/>
      <c r="H35" s="468">
        <f>H9-H28</f>
        <v>-6989.321484375003</v>
      </c>
      <c r="I35" s="468"/>
      <c r="J35" s="2"/>
    </row>
    <row r="37" ht="15" customHeight="1"/>
    <row r="38" ht="15" customHeight="1"/>
    <row r="39" spans="7:14" ht="15" customHeight="1">
      <c r="G39" s="86" t="s">
        <v>314</v>
      </c>
      <c r="H39" s="86"/>
      <c r="I39" s="86"/>
      <c r="J39" s="86"/>
      <c r="K39" s="86"/>
      <c r="L39" s="86"/>
      <c r="M39" s="86"/>
      <c r="N39" s="86"/>
    </row>
    <row r="40" spans="7:14" ht="20.25" customHeight="1">
      <c r="G40" s="86"/>
      <c r="H40" s="86"/>
      <c r="I40" s="86"/>
      <c r="J40" s="86"/>
      <c r="K40" s="86"/>
      <c r="L40" s="86"/>
      <c r="M40" s="86"/>
      <c r="N40" s="86"/>
    </row>
    <row r="41" spans="7:14" ht="18">
      <c r="G41" s="175"/>
      <c r="H41" s="389"/>
      <c r="I41" s="389"/>
      <c r="J41" s="176"/>
      <c r="K41" s="169" t="s">
        <v>290</v>
      </c>
      <c r="L41" s="169"/>
      <c r="M41" s="169" t="s">
        <v>95</v>
      </c>
      <c r="N41" s="169"/>
    </row>
    <row r="42" spans="7:14" ht="18">
      <c r="G42" s="95" t="s">
        <v>287</v>
      </c>
      <c r="H42" s="96"/>
      <c r="I42" s="96"/>
      <c r="J42" s="97"/>
      <c r="K42" s="81">
        <f>F34</f>
        <v>12598.366100964093</v>
      </c>
      <c r="L42" s="81"/>
      <c r="M42" s="371" t="s">
        <v>147</v>
      </c>
      <c r="N42" s="372"/>
    </row>
    <row r="43" spans="7:14" ht="18">
      <c r="G43" s="95" t="s">
        <v>286</v>
      </c>
      <c r="H43" s="96"/>
      <c r="I43" s="96"/>
      <c r="J43" s="97"/>
      <c r="K43" s="81">
        <f>O31</f>
        <v>-4.268301587173616E-12</v>
      </c>
      <c r="L43" s="81"/>
      <c r="M43" s="371" t="s">
        <v>147</v>
      </c>
      <c r="N43" s="372"/>
    </row>
    <row r="44" spans="7:14" ht="18">
      <c r="G44" s="95" t="s">
        <v>328</v>
      </c>
      <c r="H44" s="96"/>
      <c r="I44" s="96"/>
      <c r="J44" s="97"/>
      <c r="K44" s="81">
        <f>'Other revenue'!I14</f>
        <v>3000</v>
      </c>
      <c r="L44" s="81"/>
      <c r="M44" s="371" t="s">
        <v>147</v>
      </c>
      <c r="N44" s="372"/>
    </row>
    <row r="45" spans="7:14" ht="18">
      <c r="G45" s="470" t="s">
        <v>289</v>
      </c>
      <c r="H45" s="471"/>
      <c r="I45" s="471"/>
      <c r="J45" s="472"/>
      <c r="K45" s="468">
        <f>SUM(K42:L44)</f>
        <v>15598.36610096409</v>
      </c>
      <c r="L45" s="468"/>
      <c r="M45" s="371" t="s">
        <v>147</v>
      </c>
      <c r="N45" s="372"/>
    </row>
    <row r="46" spans="7:14" ht="18">
      <c r="G46" s="95" t="s">
        <v>216</v>
      </c>
      <c r="H46" s="96"/>
      <c r="I46" s="96"/>
      <c r="J46" s="97"/>
      <c r="K46" s="371" t="s">
        <v>147</v>
      </c>
      <c r="L46" s="372"/>
      <c r="M46" s="81">
        <f>H35</f>
        <v>-6989.321484375003</v>
      </c>
      <c r="N46" s="81"/>
    </row>
    <row r="47" spans="7:14" ht="21" customHeight="1">
      <c r="G47" s="95" t="s">
        <v>217</v>
      </c>
      <c r="H47" s="96"/>
      <c r="I47" s="96"/>
      <c r="J47" s="97"/>
      <c r="K47" s="371" t="s">
        <v>147</v>
      </c>
      <c r="L47" s="372"/>
      <c r="M47" s="81">
        <f>Q32</f>
        <v>-1.3151083416707007E-12</v>
      </c>
      <c r="N47" s="81"/>
    </row>
    <row r="48" spans="7:14" ht="21" customHeight="1">
      <c r="G48" s="95" t="s">
        <v>328</v>
      </c>
      <c r="H48" s="96"/>
      <c r="I48" s="96"/>
      <c r="J48" s="97"/>
      <c r="K48" s="371" t="s">
        <v>147</v>
      </c>
      <c r="L48" s="372"/>
      <c r="M48" s="81">
        <f>K44</f>
        <v>3000</v>
      </c>
      <c r="N48" s="81"/>
    </row>
    <row r="49" spans="7:14" ht="21" customHeight="1">
      <c r="G49" s="470" t="s">
        <v>218</v>
      </c>
      <c r="H49" s="471"/>
      <c r="I49" s="471"/>
      <c r="J49" s="472"/>
      <c r="K49" s="371" t="s">
        <v>147</v>
      </c>
      <c r="L49" s="372"/>
      <c r="M49" s="468">
        <f>M47+M46+M48</f>
        <v>-3989.321484375004</v>
      </c>
      <c r="N49" s="468"/>
    </row>
  </sheetData>
  <mergeCells count="205">
    <mergeCell ref="K44:L44"/>
    <mergeCell ref="M44:N44"/>
    <mergeCell ref="G48:J48"/>
    <mergeCell ref="K48:L48"/>
    <mergeCell ref="M48:N48"/>
    <mergeCell ref="O29:P29"/>
    <mergeCell ref="Q29:R29"/>
    <mergeCell ref="K30:N30"/>
    <mergeCell ref="O30:P30"/>
    <mergeCell ref="Q30:R30"/>
    <mergeCell ref="K32:N32"/>
    <mergeCell ref="O32:P32"/>
    <mergeCell ref="Q32:R32"/>
    <mergeCell ref="G42:J42"/>
    <mergeCell ref="F32:G32"/>
    <mergeCell ref="H32:I32"/>
    <mergeCell ref="F33:G33"/>
    <mergeCell ref="H33:I33"/>
    <mergeCell ref="F34:G34"/>
    <mergeCell ref="H34:I34"/>
    <mergeCell ref="B4:E4"/>
    <mergeCell ref="B18:E18"/>
    <mergeCell ref="B2:I3"/>
    <mergeCell ref="H4:I4"/>
    <mergeCell ref="H6:I6"/>
    <mergeCell ref="H7:I7"/>
    <mergeCell ref="F6:G6"/>
    <mergeCell ref="F7:G7"/>
    <mergeCell ref="F9:G9"/>
    <mergeCell ref="B14:E14"/>
    <mergeCell ref="F14:G14"/>
    <mergeCell ref="H14:I14"/>
    <mergeCell ref="H15:I15"/>
    <mergeCell ref="H16:I16"/>
    <mergeCell ref="H17:I17"/>
    <mergeCell ref="B5:E5"/>
    <mergeCell ref="B6:E6"/>
    <mergeCell ref="B7:E7"/>
    <mergeCell ref="B9:E9"/>
    <mergeCell ref="B10:E10"/>
    <mergeCell ref="B11:E11"/>
    <mergeCell ref="B12:E12"/>
    <mergeCell ref="H9:I9"/>
    <mergeCell ref="H11:I11"/>
    <mergeCell ref="B24:E24"/>
    <mergeCell ref="F24:G24"/>
    <mergeCell ref="H24:I24"/>
    <mergeCell ref="B13:E13"/>
    <mergeCell ref="F10:I10"/>
    <mergeCell ref="B15:E15"/>
    <mergeCell ref="B21:E21"/>
    <mergeCell ref="F21:G21"/>
    <mergeCell ref="H21:I21"/>
    <mergeCell ref="B16:E16"/>
    <mergeCell ref="B17:E17"/>
    <mergeCell ref="F12:G12"/>
    <mergeCell ref="F13:G13"/>
    <mergeCell ref="F15:G15"/>
    <mergeCell ref="F16:G16"/>
    <mergeCell ref="F17:G17"/>
    <mergeCell ref="B22:E22"/>
    <mergeCell ref="F22:G22"/>
    <mergeCell ref="H22:I22"/>
    <mergeCell ref="F18:I18"/>
    <mergeCell ref="B28:E28"/>
    <mergeCell ref="F28:G28"/>
    <mergeCell ref="H28:I28"/>
    <mergeCell ref="B35:E35"/>
    <mergeCell ref="F35:G35"/>
    <mergeCell ref="H35:I35"/>
    <mergeCell ref="B26:E26"/>
    <mergeCell ref="F26:G26"/>
    <mergeCell ref="H26:I26"/>
    <mergeCell ref="B27:E27"/>
    <mergeCell ref="F27:G27"/>
    <mergeCell ref="H27:I27"/>
    <mergeCell ref="B29:E29"/>
    <mergeCell ref="B30:E30"/>
    <mergeCell ref="F30:G30"/>
    <mergeCell ref="H30:I30"/>
    <mergeCell ref="B31:E31"/>
    <mergeCell ref="F31:G31"/>
    <mergeCell ref="B32:E32"/>
    <mergeCell ref="B33:E33"/>
    <mergeCell ref="B34:E34"/>
    <mergeCell ref="B25:E25"/>
    <mergeCell ref="F25:G25"/>
    <mergeCell ref="H25:I25"/>
    <mergeCell ref="B23:E23"/>
    <mergeCell ref="F4:G4"/>
    <mergeCell ref="H31:I31"/>
    <mergeCell ref="K28:N28"/>
    <mergeCell ref="F11:G11"/>
    <mergeCell ref="K2:R3"/>
    <mergeCell ref="K4:N4"/>
    <mergeCell ref="O4:P4"/>
    <mergeCell ref="Q4:R4"/>
    <mergeCell ref="K5:N5"/>
    <mergeCell ref="H12:I12"/>
    <mergeCell ref="H13:I13"/>
    <mergeCell ref="K6:N6"/>
    <mergeCell ref="O6:P6"/>
    <mergeCell ref="Q6:R6"/>
    <mergeCell ref="K7:N7"/>
    <mergeCell ref="O7:P7"/>
    <mergeCell ref="Q7:R7"/>
    <mergeCell ref="K8:N8"/>
    <mergeCell ref="O8:P8"/>
    <mergeCell ref="Q8:R8"/>
    <mergeCell ref="O15:P15"/>
    <mergeCell ref="F19:G19"/>
    <mergeCell ref="K45:L45"/>
    <mergeCell ref="M45:N45"/>
    <mergeCell ref="K10:N10"/>
    <mergeCell ref="O10:P10"/>
    <mergeCell ref="Q10:R10"/>
    <mergeCell ref="K43:L43"/>
    <mergeCell ref="M43:N43"/>
    <mergeCell ref="K31:N31"/>
    <mergeCell ref="O31:P31"/>
    <mergeCell ref="Q31:R31"/>
    <mergeCell ref="K24:N24"/>
    <mergeCell ref="O24:P24"/>
    <mergeCell ref="K27:N27"/>
    <mergeCell ref="O27:P27"/>
    <mergeCell ref="K42:L42"/>
    <mergeCell ref="M42:N42"/>
    <mergeCell ref="O26:P26"/>
    <mergeCell ref="Q26:R26"/>
    <mergeCell ref="O13:P13"/>
    <mergeCell ref="Q13:R13"/>
    <mergeCell ref="O14:P14"/>
    <mergeCell ref="K29:N29"/>
    <mergeCell ref="K49:L49"/>
    <mergeCell ref="M49:N49"/>
    <mergeCell ref="K47:L47"/>
    <mergeCell ref="M47:N47"/>
    <mergeCell ref="K41:L41"/>
    <mergeCell ref="M41:N41"/>
    <mergeCell ref="K46:L46"/>
    <mergeCell ref="M46:N46"/>
    <mergeCell ref="F5:I5"/>
    <mergeCell ref="F29:I29"/>
    <mergeCell ref="G41:J41"/>
    <mergeCell ref="G39:N40"/>
    <mergeCell ref="K26:N26"/>
    <mergeCell ref="K13:N13"/>
    <mergeCell ref="K14:N14"/>
    <mergeCell ref="F23:G23"/>
    <mergeCell ref="H23:I23"/>
    <mergeCell ref="K15:N15"/>
    <mergeCell ref="G43:J43"/>
    <mergeCell ref="G45:J45"/>
    <mergeCell ref="G46:J46"/>
    <mergeCell ref="G47:J47"/>
    <mergeCell ref="G49:J49"/>
    <mergeCell ref="G44:J44"/>
    <mergeCell ref="O9:R9"/>
    <mergeCell ref="O5:R5"/>
    <mergeCell ref="O28:R28"/>
    <mergeCell ref="O18:R18"/>
    <mergeCell ref="Q25:R25"/>
    <mergeCell ref="K21:N21"/>
    <mergeCell ref="O21:P21"/>
    <mergeCell ref="Q21:R21"/>
    <mergeCell ref="K22:N22"/>
    <mergeCell ref="O22:P22"/>
    <mergeCell ref="Q22:R22"/>
    <mergeCell ref="K19:N19"/>
    <mergeCell ref="O19:P19"/>
    <mergeCell ref="Q19:R19"/>
    <mergeCell ref="K20:N20"/>
    <mergeCell ref="O20:P20"/>
    <mergeCell ref="Q15:R15"/>
    <mergeCell ref="K16:N16"/>
    <mergeCell ref="O16:P16"/>
    <mergeCell ref="Q16:R16"/>
    <mergeCell ref="K9:N9"/>
    <mergeCell ref="K17:N17"/>
    <mergeCell ref="O12:P12"/>
    <mergeCell ref="Q12:R12"/>
    <mergeCell ref="Q14:R14"/>
    <mergeCell ref="Q24:R24"/>
    <mergeCell ref="Q27:R27"/>
    <mergeCell ref="K25:N25"/>
    <mergeCell ref="O25:P25"/>
    <mergeCell ref="O17:P17"/>
    <mergeCell ref="Q17:R17"/>
    <mergeCell ref="K18:N18"/>
    <mergeCell ref="B8:E8"/>
    <mergeCell ref="F8:G8"/>
    <mergeCell ref="H8:I8"/>
    <mergeCell ref="Q20:R20"/>
    <mergeCell ref="K23:N23"/>
    <mergeCell ref="O23:P23"/>
    <mergeCell ref="Q23:R23"/>
    <mergeCell ref="K11:N11"/>
    <mergeCell ref="O11:P11"/>
    <mergeCell ref="Q11:R11"/>
    <mergeCell ref="K12:N12"/>
    <mergeCell ref="B19:E19"/>
    <mergeCell ref="H19:I19"/>
    <mergeCell ref="B20:E20"/>
    <mergeCell ref="F20:G20"/>
    <mergeCell ref="H20:I20"/>
  </mergeCell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97"/>
  <sheetViews>
    <sheetView zoomScale="85" zoomScaleNormal="85" workbookViewId="0" topLeftCell="A64">
      <selection activeCell="D88" sqref="D88"/>
    </sheetView>
  </sheetViews>
  <sheetFormatPr defaultColWidth="9.140625" defaultRowHeight="15"/>
  <cols>
    <col min="2" max="2" width="10.8515625" style="0" customWidth="1"/>
    <col min="6" max="6" width="11.7109375" style="0" bestFit="1" customWidth="1"/>
    <col min="11" max="11" width="17.421875" style="0" customWidth="1"/>
    <col min="12" max="12" width="9.28125" style="0" customWidth="1"/>
    <col min="14" max="14" width="10.28125" style="0" customWidth="1"/>
  </cols>
  <sheetData>
    <row r="1" spans="2:22" ht="1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ht="30.75" customHeight="1">
      <c r="A2" s="9"/>
      <c r="B2" s="492" t="s">
        <v>297</v>
      </c>
      <c r="C2" s="492"/>
      <c r="D2" s="492"/>
      <c r="E2" s="492"/>
      <c r="F2" s="492"/>
      <c r="G2" s="492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5"/>
      <c r="T2" s="45"/>
      <c r="U2" s="9"/>
      <c r="V2" s="9"/>
      <c r="W2" s="9"/>
    </row>
    <row r="3" spans="1:23" ht="18">
      <c r="A3" s="9"/>
      <c r="B3" s="316" t="s">
        <v>292</v>
      </c>
      <c r="C3" s="316"/>
      <c r="D3" s="316"/>
      <c r="E3" s="277" t="str">
        <f>Pastures!E61</f>
        <v/>
      </c>
      <c r="F3" s="318"/>
      <c r="G3" s="277" t="str">
        <f>Pastures!G61</f>
        <v>Bermuda</v>
      </c>
      <c r="H3" s="318"/>
      <c r="I3" s="277" t="str">
        <f>Pastures!I61</f>
        <v>Wheat owned</v>
      </c>
      <c r="J3" s="318"/>
      <c r="K3" s="277" t="str">
        <f>Pastures!K61</f>
        <v>Wheat rented</v>
      </c>
      <c r="L3" s="318"/>
      <c r="M3" s="277" t="str">
        <f>Pastures!M61</f>
        <v>Native- purch</v>
      </c>
      <c r="N3" s="318"/>
      <c r="O3" s="277" t="str">
        <f>Pastures!O61</f>
        <v>Fescue</v>
      </c>
      <c r="P3" s="318"/>
      <c r="Q3" s="45"/>
      <c r="R3" s="45"/>
      <c r="S3" s="45"/>
      <c r="T3" s="45"/>
      <c r="U3" s="9"/>
      <c r="V3" s="9"/>
      <c r="W3" s="9"/>
    </row>
    <row r="4" spans="1:23" ht="18">
      <c r="A4" s="9"/>
      <c r="B4" s="316"/>
      <c r="C4" s="316"/>
      <c r="D4" s="316"/>
      <c r="E4" s="277" t="str">
        <f>Pastures!E62</f>
        <v>(1000 acres)</v>
      </c>
      <c r="F4" s="318"/>
      <c r="G4" s="277" t="str">
        <f>Pastures!G62</f>
        <v>(200 acres)</v>
      </c>
      <c r="H4" s="318"/>
      <c r="I4" s="277" t="str">
        <f>Pastures!I62</f>
        <v>(0 acres)</v>
      </c>
      <c r="J4" s="318"/>
      <c r="K4" s="277" t="str">
        <f>Pastures!K62</f>
        <v>(0 acres)</v>
      </c>
      <c r="L4" s="318"/>
      <c r="M4" s="277" t="str">
        <f>Pastures!M62</f>
        <v>(0 acres)</v>
      </c>
      <c r="N4" s="318"/>
      <c r="O4" s="277" t="str">
        <f>Pastures!O62</f>
        <v>(0 acres)</v>
      </c>
      <c r="P4" s="318"/>
      <c r="Q4" s="45"/>
      <c r="R4" s="45"/>
      <c r="S4" s="45"/>
      <c r="T4" s="45"/>
      <c r="U4" s="9"/>
      <c r="V4" s="9"/>
      <c r="W4" s="9"/>
    </row>
    <row r="5" spans="1:23" ht="18">
      <c r="A5" s="9"/>
      <c r="B5" s="316" t="s">
        <v>293</v>
      </c>
      <c r="C5" s="316"/>
      <c r="D5" s="316"/>
      <c r="E5" s="317">
        <f>Pastures!E63</f>
        <v>1</v>
      </c>
      <c r="F5" s="317"/>
      <c r="G5" s="317">
        <f>Pastures!G63</f>
        <v>1</v>
      </c>
      <c r="H5" s="317"/>
      <c r="I5" s="317">
        <f>Pastures!I63</f>
        <v>0</v>
      </c>
      <c r="J5" s="317"/>
      <c r="K5" s="317">
        <f>Pastures!K63</f>
        <v>0</v>
      </c>
      <c r="L5" s="317"/>
      <c r="M5" s="317">
        <f>Pastures!M63</f>
        <v>1</v>
      </c>
      <c r="N5" s="317"/>
      <c r="O5" s="317">
        <f>Pastures!O63</f>
        <v>0</v>
      </c>
      <c r="P5" s="317"/>
      <c r="Q5" s="45"/>
      <c r="R5" s="45"/>
      <c r="S5" s="45"/>
      <c r="T5" s="45"/>
      <c r="U5" s="9"/>
      <c r="V5" s="9"/>
      <c r="W5" s="9"/>
    </row>
    <row r="6" spans="1:23" ht="18">
      <c r="A6" s="9"/>
      <c r="B6" s="316" t="s">
        <v>294</v>
      </c>
      <c r="C6" s="316"/>
      <c r="D6" s="316"/>
      <c r="E6" s="317">
        <f>Pastures!E64</f>
        <v>0</v>
      </c>
      <c r="F6" s="317"/>
      <c r="G6" s="317">
        <f>Pastures!G64</f>
        <v>0</v>
      </c>
      <c r="H6" s="317"/>
      <c r="I6" s="317">
        <f>Pastures!I64</f>
        <v>1</v>
      </c>
      <c r="J6" s="317"/>
      <c r="K6" s="317">
        <f>Pastures!K64</f>
        <v>1</v>
      </c>
      <c r="L6" s="317"/>
      <c r="M6" s="317">
        <f>Pastures!M64</f>
        <v>0</v>
      </c>
      <c r="N6" s="317"/>
      <c r="O6" s="317">
        <f>Pastures!O64</f>
        <v>0</v>
      </c>
      <c r="P6" s="317"/>
      <c r="Q6" s="45"/>
      <c r="R6" s="45"/>
      <c r="S6" s="45"/>
      <c r="T6" s="45"/>
      <c r="U6" s="9"/>
      <c r="V6" s="9"/>
      <c r="W6" s="9"/>
    </row>
    <row r="7" spans="1:23" ht="18">
      <c r="A7" s="9"/>
      <c r="B7" s="316" t="s">
        <v>93</v>
      </c>
      <c r="C7" s="316"/>
      <c r="D7" s="316"/>
      <c r="E7" s="320">
        <f>E5+E6</f>
        <v>1</v>
      </c>
      <c r="F7" s="320"/>
      <c r="G7" s="320">
        <f aca="true" t="shared" si="0" ref="G7">G5+G6</f>
        <v>1</v>
      </c>
      <c r="H7" s="320"/>
      <c r="I7" s="320">
        <f aca="true" t="shared" si="1" ref="I7">I5+I6</f>
        <v>1</v>
      </c>
      <c r="J7" s="320"/>
      <c r="K7" s="320">
        <f aca="true" t="shared" si="2" ref="K7">K5+K6</f>
        <v>1</v>
      </c>
      <c r="L7" s="320"/>
      <c r="M7" s="320">
        <f aca="true" t="shared" si="3" ref="M7">M5+M6</f>
        <v>1</v>
      </c>
      <c r="N7" s="320"/>
      <c r="O7" s="320">
        <f aca="true" t="shared" si="4" ref="O7">O5+O6</f>
        <v>0</v>
      </c>
      <c r="P7" s="320"/>
      <c r="Q7" s="45"/>
      <c r="R7" s="45"/>
      <c r="S7" s="45"/>
      <c r="T7" s="45"/>
      <c r="U7" s="9"/>
      <c r="V7" s="9"/>
      <c r="W7" s="9"/>
    </row>
    <row r="8" spans="1:23" ht="15">
      <c r="A8" s="9"/>
      <c r="B8" s="9"/>
      <c r="C8" s="45"/>
      <c r="D8" s="45"/>
      <c r="E8" s="45"/>
      <c r="F8" s="45"/>
      <c r="G8" s="45"/>
      <c r="H8" s="45"/>
      <c r="I8" s="46"/>
      <c r="J8" s="46"/>
      <c r="K8" s="45"/>
      <c r="L8" s="45"/>
      <c r="M8" s="45"/>
      <c r="N8" s="45"/>
      <c r="O8" s="46"/>
      <c r="P8" s="46"/>
      <c r="Q8" s="47"/>
      <c r="R8" s="47"/>
      <c r="S8" s="9"/>
      <c r="T8" s="9"/>
      <c r="U8" s="9"/>
      <c r="V8" s="9"/>
      <c r="W8" s="9"/>
    </row>
    <row r="9" spans="1:23" ht="15">
      <c r="A9" s="9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9"/>
    </row>
    <row r="10" spans="1:23" ht="15">
      <c r="A10" s="9"/>
      <c r="B10" s="483" t="s">
        <v>298</v>
      </c>
      <c r="C10" s="483"/>
      <c r="D10" s="483"/>
      <c r="E10" s="483"/>
      <c r="F10" s="483"/>
      <c r="G10" s="483"/>
      <c r="H10" s="483"/>
      <c r="I10" s="483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9"/>
    </row>
    <row r="11" spans="1:23" ht="30" customHeight="1">
      <c r="A11" s="9"/>
      <c r="B11" s="316" t="s">
        <v>292</v>
      </c>
      <c r="C11" s="316"/>
      <c r="D11" s="316"/>
      <c r="E11" s="277" t="str">
        <f>E3</f>
        <v/>
      </c>
      <c r="F11" s="318"/>
      <c r="G11" s="277" t="str">
        <f aca="true" t="shared" si="5" ref="G11">G3</f>
        <v>Bermuda</v>
      </c>
      <c r="H11" s="318"/>
      <c r="I11" s="277" t="str">
        <f aca="true" t="shared" si="6" ref="I11">I3</f>
        <v>Wheat owned</v>
      </c>
      <c r="J11" s="318"/>
      <c r="K11" s="277" t="str">
        <f aca="true" t="shared" si="7" ref="K11">K3</f>
        <v>Wheat rented</v>
      </c>
      <c r="L11" s="318"/>
      <c r="M11" s="277" t="str">
        <f aca="true" t="shared" si="8" ref="M11">M3</f>
        <v>Native- purch</v>
      </c>
      <c r="N11" s="318"/>
      <c r="O11" s="277" t="str">
        <f aca="true" t="shared" si="9" ref="O11">O3</f>
        <v>Fescue</v>
      </c>
      <c r="P11" s="318"/>
      <c r="Q11" s="48"/>
      <c r="R11" s="48"/>
      <c r="S11" s="48"/>
      <c r="T11" s="48"/>
      <c r="U11" s="48"/>
      <c r="V11" s="48"/>
      <c r="W11" s="9"/>
    </row>
    <row r="12" spans="1:23" ht="30" customHeight="1">
      <c r="A12" s="9"/>
      <c r="B12" s="316"/>
      <c r="C12" s="316"/>
      <c r="D12" s="316"/>
      <c r="E12" s="277" t="str">
        <f aca="true" t="shared" si="10" ref="E12:O15">E4</f>
        <v>(1000 acres)</v>
      </c>
      <c r="F12" s="318"/>
      <c r="G12" s="277" t="str">
        <f t="shared" si="10"/>
        <v>(200 acres)</v>
      </c>
      <c r="H12" s="318"/>
      <c r="I12" s="277" t="str">
        <f t="shared" si="10"/>
        <v>(0 acres)</v>
      </c>
      <c r="J12" s="318"/>
      <c r="K12" s="277" t="str">
        <f t="shared" si="10"/>
        <v>(0 acres)</v>
      </c>
      <c r="L12" s="318"/>
      <c r="M12" s="277" t="str">
        <f t="shared" si="10"/>
        <v>(0 acres)</v>
      </c>
      <c r="N12" s="318"/>
      <c r="O12" s="277" t="str">
        <f t="shared" si="10"/>
        <v>(0 acres)</v>
      </c>
      <c r="P12" s="318"/>
      <c r="Q12" s="48"/>
      <c r="R12" s="48"/>
      <c r="S12" s="48"/>
      <c r="T12" s="48"/>
      <c r="U12" s="48"/>
      <c r="V12" s="48"/>
      <c r="W12" s="9"/>
    </row>
    <row r="13" spans="1:23" ht="30" customHeight="1">
      <c r="A13" s="9"/>
      <c r="B13" s="316" t="s">
        <v>293</v>
      </c>
      <c r="C13" s="316"/>
      <c r="D13" s="316"/>
      <c r="E13" s="485">
        <f>IF(E$7&gt;0,E5/E$7,0)</f>
        <v>1</v>
      </c>
      <c r="F13" s="318"/>
      <c r="G13" s="485">
        <f aca="true" t="shared" si="11" ref="G13">IF(G$7&gt;0,G5/G$7,0)</f>
        <v>1</v>
      </c>
      <c r="H13" s="318"/>
      <c r="I13" s="485">
        <f aca="true" t="shared" si="12" ref="I13">IF(I$7&gt;0,I5/I$7,0)</f>
        <v>0</v>
      </c>
      <c r="J13" s="318"/>
      <c r="K13" s="485">
        <f aca="true" t="shared" si="13" ref="K13">IF(K$7&gt;0,K5/K$7,0)</f>
        <v>0</v>
      </c>
      <c r="L13" s="318"/>
      <c r="M13" s="485">
        <f aca="true" t="shared" si="14" ref="M13">IF(M$7&gt;0,M5/M$7,0)</f>
        <v>1</v>
      </c>
      <c r="N13" s="318"/>
      <c r="O13" s="485">
        <f aca="true" t="shared" si="15" ref="O13">IF(O$7&gt;0,O5/O$7,0)</f>
        <v>0</v>
      </c>
      <c r="P13" s="318"/>
      <c r="Q13" s="48"/>
      <c r="R13" s="48"/>
      <c r="S13" s="48"/>
      <c r="T13" s="48"/>
      <c r="U13" s="48"/>
      <c r="V13" s="48"/>
      <c r="W13" s="9"/>
    </row>
    <row r="14" spans="1:23" ht="30" customHeight="1">
      <c r="A14" s="9"/>
      <c r="B14" s="316" t="s">
        <v>294</v>
      </c>
      <c r="C14" s="316"/>
      <c r="D14" s="316"/>
      <c r="E14" s="485">
        <f>IF(E$7&gt;0,E6/E$7,0)</f>
        <v>0</v>
      </c>
      <c r="F14" s="318"/>
      <c r="G14" s="485">
        <f aca="true" t="shared" si="16" ref="G14">IF(G$7&gt;0,G6/G$7,0)</f>
        <v>0</v>
      </c>
      <c r="H14" s="318"/>
      <c r="I14" s="485">
        <f aca="true" t="shared" si="17" ref="I14">IF(I$7&gt;0,I6/I$7,0)</f>
        <v>1</v>
      </c>
      <c r="J14" s="318"/>
      <c r="K14" s="485">
        <f aca="true" t="shared" si="18" ref="K14">IF(K$7&gt;0,K6/K$7,0)</f>
        <v>1</v>
      </c>
      <c r="L14" s="318"/>
      <c r="M14" s="485">
        <f aca="true" t="shared" si="19" ref="M14">IF(M$7&gt;0,M6/M$7,0)</f>
        <v>0</v>
      </c>
      <c r="N14" s="318"/>
      <c r="O14" s="485">
        <f aca="true" t="shared" si="20" ref="O14">IF(O$7&gt;0,O6/O$7,0)</f>
        <v>0</v>
      </c>
      <c r="P14" s="318"/>
      <c r="Q14" s="48"/>
      <c r="R14" s="48"/>
      <c r="S14" s="48"/>
      <c r="T14" s="48"/>
      <c r="U14" s="48"/>
      <c r="V14" s="48"/>
      <c r="W14" s="9"/>
    </row>
    <row r="15" spans="1:23" ht="18">
      <c r="A15" s="9"/>
      <c r="B15" s="316" t="s">
        <v>93</v>
      </c>
      <c r="C15" s="316"/>
      <c r="D15" s="316"/>
      <c r="E15" s="277">
        <f t="shared" si="10"/>
        <v>1</v>
      </c>
      <c r="F15" s="318"/>
      <c r="G15" s="277">
        <f t="shared" si="10"/>
        <v>1</v>
      </c>
      <c r="H15" s="318"/>
      <c r="I15" s="277">
        <f t="shared" si="10"/>
        <v>1</v>
      </c>
      <c r="J15" s="318"/>
      <c r="K15" s="277">
        <f t="shared" si="10"/>
        <v>1</v>
      </c>
      <c r="L15" s="318"/>
      <c r="M15" s="277">
        <f t="shared" si="10"/>
        <v>1</v>
      </c>
      <c r="N15" s="318"/>
      <c r="O15" s="277">
        <f t="shared" si="10"/>
        <v>0</v>
      </c>
      <c r="P15" s="318"/>
      <c r="Q15" s="9"/>
      <c r="R15" s="9"/>
      <c r="S15" s="9"/>
      <c r="T15" s="9"/>
      <c r="U15" s="9"/>
      <c r="V15" s="9"/>
      <c r="W15" s="9"/>
    </row>
    <row r="16" spans="1:23" ht="15">
      <c r="A16" s="9"/>
      <c r="B16" s="9"/>
      <c r="C16" s="45"/>
      <c r="D16" s="45"/>
      <c r="E16" s="45"/>
      <c r="F16" s="45"/>
      <c r="G16" s="45"/>
      <c r="H16" s="45"/>
      <c r="I16" s="46"/>
      <c r="J16" s="46"/>
      <c r="K16" s="45"/>
      <c r="L16" s="45"/>
      <c r="M16" s="45"/>
      <c r="N16" s="9"/>
      <c r="O16" s="9"/>
      <c r="P16" s="9"/>
      <c r="Q16" s="9" t="s">
        <v>93</v>
      </c>
      <c r="R16" s="9"/>
      <c r="S16" s="9"/>
      <c r="T16" s="9"/>
      <c r="U16" s="9"/>
      <c r="V16" s="9"/>
      <c r="W16" s="9"/>
    </row>
    <row r="17" spans="1:23" ht="30" customHeight="1">
      <c r="A17" s="9"/>
      <c r="B17" s="48" t="s">
        <v>300</v>
      </c>
      <c r="C17" s="48"/>
      <c r="D17" s="48"/>
      <c r="E17" s="486">
        <f>'Overhead &amp; interest'!S58</f>
        <v>33000</v>
      </c>
      <c r="F17" s="486"/>
      <c r="G17" s="486">
        <f>'Overhead &amp; interest'!S59</f>
        <v>9000</v>
      </c>
      <c r="H17" s="486"/>
      <c r="I17" s="486">
        <f>'Overhead &amp; interest'!S60</f>
        <v>0</v>
      </c>
      <c r="J17" s="486"/>
      <c r="K17" s="484">
        <v>0</v>
      </c>
      <c r="L17" s="484"/>
      <c r="M17" s="486">
        <f>'Overhead &amp; interest'!S61</f>
        <v>0</v>
      </c>
      <c r="N17" s="486"/>
      <c r="O17" s="486">
        <f>'Overhead &amp; interest'!S62</f>
        <v>0</v>
      </c>
      <c r="P17" s="486"/>
      <c r="Q17" s="486">
        <f>SUM(E17:P17)</f>
        <v>42000</v>
      </c>
      <c r="R17" s="486"/>
      <c r="S17" s="48"/>
      <c r="T17" s="48"/>
      <c r="U17" s="9"/>
      <c r="V17" s="9"/>
      <c r="W17" s="9"/>
    </row>
    <row r="18" spans="1:23" ht="15">
      <c r="A18" s="9"/>
      <c r="B18" s="9"/>
      <c r="C18" s="9"/>
      <c r="D18" s="9"/>
      <c r="E18" s="45"/>
      <c r="F18" s="45"/>
      <c r="G18" s="45"/>
      <c r="H18" s="45"/>
      <c r="I18" s="68"/>
      <c r="J18" s="45"/>
      <c r="K18" s="68"/>
      <c r="L18" s="45"/>
      <c r="M18" s="45"/>
      <c r="N18" s="45"/>
      <c r="O18" s="45"/>
      <c r="P18" s="45"/>
      <c r="Q18" s="45"/>
      <c r="R18" s="45"/>
      <c r="S18" s="45"/>
      <c r="T18" s="45"/>
      <c r="U18" s="9"/>
      <c r="V18" s="9"/>
      <c r="W18" s="9"/>
    </row>
    <row r="19" spans="1:23" ht="15">
      <c r="A19" s="9"/>
      <c r="B19" s="9" t="s">
        <v>301</v>
      </c>
      <c r="C19" s="9"/>
      <c r="D19" s="9"/>
      <c r="E19" s="486">
        <f>SUMPRODUCT(E5:P5,E17:P17)</f>
        <v>42000</v>
      </c>
      <c r="F19" s="486"/>
      <c r="G19" s="486"/>
      <c r="H19" s="486"/>
      <c r="I19" s="486"/>
      <c r="J19" s="486"/>
      <c r="K19" s="484"/>
      <c r="L19" s="484"/>
      <c r="M19" s="486"/>
      <c r="N19" s="486"/>
      <c r="O19" s="486"/>
      <c r="P19" s="486"/>
      <c r="Q19" s="45"/>
      <c r="R19" s="45"/>
      <c r="S19" s="45"/>
      <c r="T19" s="45"/>
      <c r="U19" s="9"/>
      <c r="V19" s="9"/>
      <c r="W19" s="9"/>
    </row>
    <row r="20" spans="1:23" ht="15">
      <c r="A20" s="9"/>
      <c r="B20" s="9" t="s">
        <v>302</v>
      </c>
      <c r="C20" s="9"/>
      <c r="D20" s="9"/>
      <c r="E20" s="493">
        <f>SUMPRODUCT(E6:P6,E17:P17)</f>
        <v>0</v>
      </c>
      <c r="F20" s="493"/>
      <c r="G20" s="45"/>
      <c r="H20" s="45"/>
      <c r="I20" s="68"/>
      <c r="J20" s="45"/>
      <c r="K20" s="68"/>
      <c r="L20" s="45"/>
      <c r="M20" s="45"/>
      <c r="N20" s="45"/>
      <c r="O20" s="45"/>
      <c r="P20" s="45"/>
      <c r="Q20" s="45"/>
      <c r="R20" s="45"/>
      <c r="S20" s="45"/>
      <c r="T20" s="45"/>
      <c r="U20" s="9"/>
      <c r="V20" s="9"/>
      <c r="W20" s="9"/>
    </row>
    <row r="21" spans="1:23" ht="15">
      <c r="A21" s="9"/>
      <c r="B21" s="9"/>
      <c r="C21" s="9"/>
      <c r="D21" s="9"/>
      <c r="E21" s="45"/>
      <c r="F21" s="45"/>
      <c r="G21" s="45"/>
      <c r="H21" s="45"/>
      <c r="I21" s="68"/>
      <c r="J21" s="45"/>
      <c r="K21" s="68"/>
      <c r="L21" s="45"/>
      <c r="M21" s="45"/>
      <c r="N21" s="45"/>
      <c r="O21" s="45"/>
      <c r="P21" s="45"/>
      <c r="Q21" s="45"/>
      <c r="R21" s="45"/>
      <c r="S21" s="45"/>
      <c r="T21" s="45"/>
      <c r="U21" s="9"/>
      <c r="V21" s="9"/>
      <c r="W21" s="9"/>
    </row>
    <row r="22" spans="1:23" ht="15">
      <c r="A22" s="9"/>
      <c r="B22" s="9"/>
      <c r="C22" s="9"/>
      <c r="D22" s="9"/>
      <c r="E22" s="45"/>
      <c r="F22" s="45"/>
      <c r="G22" s="45"/>
      <c r="H22" s="45"/>
      <c r="I22" s="68"/>
      <c r="J22" s="45"/>
      <c r="K22" s="68"/>
      <c r="L22" s="45"/>
      <c r="M22" s="45"/>
      <c r="N22" s="45"/>
      <c r="O22" s="45"/>
      <c r="P22" s="45"/>
      <c r="Q22" s="45"/>
      <c r="R22" s="45"/>
      <c r="S22" s="45"/>
      <c r="T22" s="45"/>
      <c r="U22" s="9"/>
      <c r="V22" s="9"/>
      <c r="W22" s="9"/>
    </row>
    <row r="23" spans="1:23" ht="15">
      <c r="A23" s="9"/>
      <c r="B23" s="9"/>
      <c r="C23" s="45"/>
      <c r="D23" s="45"/>
      <c r="E23" s="45"/>
      <c r="F23" s="45"/>
      <c r="G23" s="45"/>
      <c r="H23" s="45"/>
      <c r="I23" s="46"/>
      <c r="J23" s="46"/>
      <c r="K23" s="45"/>
      <c r="L23" s="45"/>
      <c r="M23" s="45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>
      <c r="A24" s="9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9"/>
      <c r="V24" s="9"/>
      <c r="W24" s="9"/>
    </row>
    <row r="25" spans="1:23" ht="15">
      <c r="A25" s="9"/>
      <c r="B25" s="9"/>
      <c r="C25" s="45"/>
      <c r="D25" s="48"/>
      <c r="E25" s="45"/>
      <c r="F25" s="45"/>
      <c r="G25" s="45"/>
      <c r="H25" s="45"/>
      <c r="I25" s="68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9"/>
      <c r="V25" s="9"/>
      <c r="W25" s="9"/>
    </row>
    <row r="26" spans="1:23" ht="15">
      <c r="A26" s="9"/>
      <c r="B26" s="9"/>
      <c r="C26" s="45"/>
      <c r="D26" s="48"/>
      <c r="E26" s="45"/>
      <c r="F26" s="45"/>
      <c r="G26" s="45"/>
      <c r="H26" s="45"/>
      <c r="I26" s="68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9"/>
      <c r="V26" s="9"/>
      <c r="W26" s="9"/>
    </row>
    <row r="27" spans="1:23" ht="15">
      <c r="A27" s="9"/>
      <c r="B27" s="9"/>
      <c r="C27" s="45"/>
      <c r="D27" s="48"/>
      <c r="E27" s="45"/>
      <c r="F27" s="45"/>
      <c r="G27" s="45"/>
      <c r="H27" s="45"/>
      <c r="I27" s="68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9"/>
      <c r="V27" s="9"/>
      <c r="W27" s="9"/>
    </row>
    <row r="28" spans="1:23" ht="15">
      <c r="A28" s="9"/>
      <c r="B28" s="9"/>
      <c r="C28" s="45"/>
      <c r="D28" s="48"/>
      <c r="E28" s="45"/>
      <c r="F28" s="45"/>
      <c r="G28" s="45"/>
      <c r="H28" s="45"/>
      <c r="I28" s="68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9"/>
      <c r="V28" s="9"/>
      <c r="W28" s="9"/>
    </row>
    <row r="29" spans="1:23" ht="15">
      <c r="A29" s="9"/>
      <c r="B29" s="9"/>
      <c r="C29" s="45"/>
      <c r="D29" s="48"/>
      <c r="E29" s="45"/>
      <c r="F29" s="45"/>
      <c r="G29" s="45"/>
      <c r="H29" s="45"/>
      <c r="I29" s="68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9"/>
      <c r="V29" s="9"/>
      <c r="W29" s="9"/>
    </row>
    <row r="30" spans="1:23" ht="15">
      <c r="A30" s="9"/>
      <c r="B30" s="9"/>
      <c r="C30" s="45"/>
      <c r="D30" s="48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9"/>
      <c r="V30" s="9"/>
      <c r="W30" s="9"/>
    </row>
    <row r="31" spans="1:23" ht="15.75" customHeight="1">
      <c r="A31" s="9"/>
      <c r="B31" s="9"/>
      <c r="C31" s="45"/>
      <c r="D31" s="45"/>
      <c r="E31" s="45"/>
      <c r="F31" s="45"/>
      <c r="G31" s="45"/>
      <c r="H31" s="45"/>
      <c r="I31" s="46"/>
      <c r="J31" s="46"/>
      <c r="K31" s="45"/>
      <c r="L31" s="45"/>
      <c r="M31" s="45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>
      <c r="A32" s="9"/>
      <c r="B32" s="9"/>
      <c r="C32" s="45"/>
      <c r="D32" s="45"/>
      <c r="E32" s="45"/>
      <c r="F32" s="45"/>
      <c r="G32" s="45"/>
      <c r="H32" s="45"/>
      <c r="I32" s="46"/>
      <c r="J32" s="46"/>
      <c r="K32" s="45"/>
      <c r="L32" s="45"/>
      <c r="M32" s="45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9"/>
      <c r="B33" s="9"/>
      <c r="C33" s="45"/>
      <c r="D33" s="45"/>
      <c r="E33" s="45"/>
      <c r="F33" s="45"/>
      <c r="G33" s="45"/>
      <c r="H33" s="45"/>
      <c r="I33" s="46"/>
      <c r="J33" s="46"/>
      <c r="K33" s="45"/>
      <c r="L33" s="45"/>
      <c r="M33" s="45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1:13" ht="15">
      <c r="K34" t="s">
        <v>135</v>
      </c>
      <c r="L34">
        <v>3000</v>
      </c>
      <c r="M34">
        <v>35</v>
      </c>
    </row>
    <row r="35" spans="4:13" ht="15">
      <c r="D35" t="s">
        <v>115</v>
      </c>
      <c r="E35" t="s">
        <v>116</v>
      </c>
      <c r="F35" t="s">
        <v>117</v>
      </c>
      <c r="G35" t="s">
        <v>92</v>
      </c>
      <c r="H35" t="s">
        <v>119</v>
      </c>
      <c r="J35" t="s">
        <v>100</v>
      </c>
      <c r="K35" s="33">
        <f>'Cows, heifers, &amp; bulls'!H42</f>
        <v>1000</v>
      </c>
      <c r="L35">
        <v>1500</v>
      </c>
      <c r="M35">
        <v>0</v>
      </c>
    </row>
    <row r="36" spans="2:13" ht="15">
      <c r="B36" t="s">
        <v>114</v>
      </c>
      <c r="C36">
        <f>SUM(Results!F11:G17)-Results!F15</f>
        <v>33899.82</v>
      </c>
      <c r="D36" s="20">
        <f>'Overhead &amp; interest'!F41</f>
        <v>0.75</v>
      </c>
      <c r="E36" s="21">
        <f>'Overhead &amp; interest'!F43</f>
        <v>0.0625</v>
      </c>
      <c r="F36" s="21">
        <f>'Overhead &amp; interest'!F43</f>
        <v>0.0625</v>
      </c>
      <c r="G36">
        <f>'Overhead &amp; interest'!F42</f>
        <v>9</v>
      </c>
      <c r="H36">
        <f>C36*(1-D36)*E36*G36/12</f>
        <v>397.263515625</v>
      </c>
      <c r="J36" t="s">
        <v>133</v>
      </c>
      <c r="K36" s="33">
        <f>'Cows, heifers, &amp; bulls'!H43</f>
        <v>850</v>
      </c>
      <c r="L36">
        <v>1750</v>
      </c>
      <c r="M36">
        <v>50</v>
      </c>
    </row>
    <row r="37" spans="2:13" ht="15">
      <c r="B37" t="s">
        <v>118</v>
      </c>
      <c r="C37">
        <f>Results!F15</f>
        <v>3750</v>
      </c>
      <c r="D37" s="20">
        <f>1-'Overhead &amp; interest'!E7</f>
        <v>0.5</v>
      </c>
      <c r="E37" s="21">
        <f>'Overhead &amp; interest'!F43</f>
        <v>0.0625</v>
      </c>
      <c r="F37" s="21">
        <f>'Overhead &amp; interest'!L43</f>
        <v>0</v>
      </c>
      <c r="G37">
        <f>'Overhead &amp; interest'!L42</f>
        <v>0</v>
      </c>
      <c r="H37">
        <f>C37*(1-D37)*E37*G37/12</f>
        <v>0</v>
      </c>
      <c r="J37" t="s">
        <v>134</v>
      </c>
      <c r="K37" s="33">
        <f>'Cows, heifers, &amp; bulls'!H44</f>
        <v>1300</v>
      </c>
      <c r="L37">
        <v>1500</v>
      </c>
      <c r="M37">
        <v>40</v>
      </c>
    </row>
    <row r="38" spans="2:13" ht="15">
      <c r="B38" t="s">
        <v>100</v>
      </c>
      <c r="C38" s="30">
        <f>'Cows, heifers, &amp; bulls'!E12*(L35+K35)/2</f>
        <v>0</v>
      </c>
      <c r="D38">
        <f>1-'Cows, heifers, &amp; bulls'!E13</f>
        <v>1</v>
      </c>
      <c r="E38" s="21">
        <f>E36</f>
        <v>0.0625</v>
      </c>
      <c r="H38">
        <f>C38*(1-D38)*E38</f>
        <v>0</v>
      </c>
      <c r="L38">
        <v>800</v>
      </c>
      <c r="M38">
        <v>45</v>
      </c>
    </row>
    <row r="39" spans="2:8" ht="15">
      <c r="B39" t="s">
        <v>99</v>
      </c>
      <c r="C39">
        <f>'Cows, heifers, &amp; bulls'!G12*(calcs!L37+calcs!K37)/2</f>
        <v>0</v>
      </c>
      <c r="D39">
        <f>1-'Cows, heifers, &amp; bulls'!G13</f>
        <v>1</v>
      </c>
      <c r="E39" s="21">
        <f>E38</f>
        <v>0.0625</v>
      </c>
      <c r="H39">
        <f>C39*(1-D39)*E39</f>
        <v>0</v>
      </c>
    </row>
    <row r="40" spans="2:8" ht="15">
      <c r="B40" t="s">
        <v>120</v>
      </c>
      <c r="C40" s="30">
        <f>'Cows, heifers, &amp; bulls'!I12</f>
        <v>0</v>
      </c>
      <c r="D40">
        <f>1-'Cows, heifers, &amp; bulls'!I13</f>
        <v>1</v>
      </c>
      <c r="E40" s="21">
        <f>E39</f>
        <v>0.0625</v>
      </c>
      <c r="H40">
        <f>C40*(1-D40)*E40</f>
        <v>0</v>
      </c>
    </row>
    <row r="41" spans="2:10" ht="15">
      <c r="B41" t="s">
        <v>121</v>
      </c>
      <c r="C41">
        <f>'Feed, vet, &amp; breeding costs'!F35*('Feed, vet, &amp; breeding costs'!F36+'Feed, vet, &amp; breeding costs'!F39)/2*'Feed, vet, &amp; breeding costs'!F37+('Feed, vet, &amp; breeding costs'!H36+'Feed, vet, &amp; breeding costs'!H39)/2*'Feed, vet, &amp; breeding costs'!H35*'Feed, vet, &amp; breeding costs'!H37+'Feed, vet, &amp; breeding costs'!J37*'Feed, vet, &amp; breeding costs'!J35*('Feed, vet, &amp; breeding costs'!J36+'Feed, vet, &amp; breeding costs'!J39)/2</f>
        <v>0</v>
      </c>
      <c r="D41">
        <v>0</v>
      </c>
      <c r="E41" s="21">
        <f>E40</f>
        <v>0.0625</v>
      </c>
      <c r="H41">
        <f>C41*(1-D41)*E41</f>
        <v>0</v>
      </c>
      <c r="J41" s="24"/>
    </row>
    <row r="42" spans="5:10" ht="15">
      <c r="E42" s="21"/>
      <c r="F42" t="s">
        <v>125</v>
      </c>
      <c r="H42">
        <f>L25</f>
        <v>0</v>
      </c>
      <c r="J42" s="24"/>
    </row>
    <row r="43" spans="5:18" ht="18">
      <c r="E43" s="21"/>
      <c r="K43" s="491" t="s">
        <v>3</v>
      </c>
      <c r="L43" s="491"/>
      <c r="M43" s="488" t="s">
        <v>4</v>
      </c>
      <c r="N43" s="488"/>
      <c r="O43" s="169" t="s">
        <v>3</v>
      </c>
      <c r="P43" s="169"/>
      <c r="Q43" s="87" t="s">
        <v>4</v>
      </c>
      <c r="R43" s="87"/>
    </row>
    <row r="44" spans="5:18" ht="18">
      <c r="E44" s="21"/>
      <c r="K44" s="489">
        <f>Calves!E6</f>
        <v>0</v>
      </c>
      <c r="L44" s="489"/>
      <c r="M44" s="489">
        <f>Calves!G6</f>
        <v>0</v>
      </c>
      <c r="N44" s="489"/>
      <c r="O44" s="489">
        <f>Calves!I6</f>
        <v>0</v>
      </c>
      <c r="P44" s="489"/>
      <c r="Q44" s="489">
        <f>Calves!K6</f>
        <v>-3.108624468950437E-15</v>
      </c>
      <c r="R44" s="489"/>
    </row>
    <row r="45" spans="11:18" ht="18">
      <c r="K45" s="489">
        <f>Calves!E7</f>
        <v>1</v>
      </c>
      <c r="L45" s="489"/>
      <c r="M45" s="489">
        <f>Calves!G7</f>
        <v>0</v>
      </c>
      <c r="N45" s="489"/>
      <c r="O45" s="489" t="str">
        <f>Calves!I7</f>
        <v>xxx</v>
      </c>
      <c r="P45" s="489"/>
      <c r="Q45" s="489" t="str">
        <f>Calves!K7</f>
        <v>xxx</v>
      </c>
      <c r="R45" s="489"/>
    </row>
    <row r="46" spans="5:18" ht="18">
      <c r="E46" s="21"/>
      <c r="K46" s="489">
        <f>Calves!E8</f>
        <v>525</v>
      </c>
      <c r="L46" s="489"/>
      <c r="M46" s="489">
        <f>Calves!G8</f>
        <v>525</v>
      </c>
      <c r="N46" s="489"/>
      <c r="O46" s="489">
        <f>Calves!I8</f>
        <v>525</v>
      </c>
      <c r="P46" s="489"/>
      <c r="Q46" s="489">
        <f>Calves!K8</f>
        <v>500</v>
      </c>
      <c r="R46" s="489"/>
    </row>
    <row r="47" spans="7:18" ht="18">
      <c r="G47" t="s">
        <v>93</v>
      </c>
      <c r="H47">
        <f>SUM(H36:H44)</f>
        <v>397.263515625</v>
      </c>
      <c r="K47" s="489">
        <f>Calves!E9</f>
        <v>190</v>
      </c>
      <c r="L47" s="489"/>
      <c r="M47" s="489">
        <f>Calves!G9</f>
        <v>190</v>
      </c>
      <c r="N47" s="489"/>
      <c r="O47" s="489">
        <f>Calves!I9</f>
        <v>190</v>
      </c>
      <c r="P47" s="489"/>
      <c r="Q47" s="489">
        <f>Calves!K9</f>
        <v>190</v>
      </c>
      <c r="R47" s="489"/>
    </row>
    <row r="48" spans="9:18" ht="18">
      <c r="I48" s="123"/>
      <c r="J48" s="125"/>
      <c r="K48" s="490">
        <v>150</v>
      </c>
      <c r="L48" s="490"/>
      <c r="M48" s="490">
        <v>150</v>
      </c>
      <c r="N48" s="490"/>
      <c r="O48" s="490">
        <v>150</v>
      </c>
      <c r="P48" s="490"/>
      <c r="Q48" s="490">
        <v>150</v>
      </c>
      <c r="R48" s="490"/>
    </row>
    <row r="49" spans="12:18" ht="15">
      <c r="L49">
        <f>K44*(1-K45)*K46*K47/100</f>
        <v>0</v>
      </c>
      <c r="N49">
        <f>M44*(1-M45)*M46*M47/100</f>
        <v>0</v>
      </c>
      <c r="P49">
        <f>O44*O46*O47/100</f>
        <v>0</v>
      </c>
      <c r="R49">
        <f>Q44*Q46*Q47/100</f>
        <v>-2.953193245502915E-12</v>
      </c>
    </row>
    <row r="52" spans="6:8" ht="15">
      <c r="F52" t="s">
        <v>125</v>
      </c>
      <c r="H52">
        <f>L26</f>
        <v>0</v>
      </c>
    </row>
    <row r="53" spans="2:8" ht="15">
      <c r="B53" t="s">
        <v>122</v>
      </c>
      <c r="C53">
        <f>SUM(Results!O10:P17)-Results!O15</f>
        <v>-5.6654680946621716E-15</v>
      </c>
      <c r="D53" s="20">
        <f>'Overhead &amp; interest'!I41</f>
        <v>1</v>
      </c>
      <c r="E53" s="21">
        <f>E41</f>
        <v>0.0625</v>
      </c>
      <c r="H53">
        <f>C53*(1-D53)*E53</f>
        <v>0</v>
      </c>
    </row>
    <row r="54" spans="2:8" ht="15">
      <c r="B54" t="s">
        <v>123</v>
      </c>
      <c r="C54">
        <f>L49+P49</f>
        <v>0</v>
      </c>
      <c r="D54">
        <v>1</v>
      </c>
      <c r="E54" s="21">
        <f>E53</f>
        <v>0.0625</v>
      </c>
      <c r="G54">
        <f>Calves!I12</f>
        <v>180</v>
      </c>
      <c r="H54">
        <f>L49*(1-D54)*E54*G54/365</f>
        <v>0</v>
      </c>
    </row>
    <row r="55" spans="2:8" ht="15">
      <c r="B55" t="s">
        <v>124</v>
      </c>
      <c r="C55">
        <f>N49+R49</f>
        <v>-2.953193245502915E-12</v>
      </c>
      <c r="D55">
        <v>1</v>
      </c>
      <c r="E55" s="21">
        <f>E54</f>
        <v>0.0625</v>
      </c>
      <c r="G55">
        <f>Calves!K12</f>
        <v>180</v>
      </c>
      <c r="H55">
        <f>C55*(1-D55)*E55*G55/365</f>
        <v>0</v>
      </c>
    </row>
    <row r="56" spans="2:8" ht="15">
      <c r="B56" t="s">
        <v>118</v>
      </c>
      <c r="C56">
        <f>Results!O15</f>
        <v>0</v>
      </c>
      <c r="D56" s="20">
        <f>'Overhead &amp; interest'!L41</f>
        <v>0</v>
      </c>
      <c r="E56" s="21">
        <f>E37</f>
        <v>0.0625</v>
      </c>
      <c r="H56">
        <f>C56*(1-D56)*E56/2</f>
        <v>0</v>
      </c>
    </row>
    <row r="57" spans="7:8" ht="15">
      <c r="G57" t="s">
        <v>93</v>
      </c>
      <c r="H57">
        <f>SUM(H52:H56)</f>
        <v>0</v>
      </c>
    </row>
    <row r="59" ht="15">
      <c r="B59" t="s">
        <v>158</v>
      </c>
    </row>
    <row r="60" spans="4:17" ht="15">
      <c r="D60" t="str">
        <f>'Overhead &amp; interest'!F40</f>
        <v>Cow herd</v>
      </c>
      <c r="E60" t="str">
        <f>'Overhead &amp; interest'!I40</f>
        <v>Stockers</v>
      </c>
      <c r="F60">
        <f>'Overhead &amp; interest'!L40</f>
        <v>0</v>
      </c>
      <c r="I60" t="s">
        <v>159</v>
      </c>
      <c r="L60" t="s">
        <v>100</v>
      </c>
      <c r="M60" t="s">
        <v>160</v>
      </c>
      <c r="N60" t="s">
        <v>161</v>
      </c>
      <c r="O60" t="s">
        <v>165</v>
      </c>
      <c r="P60" t="s">
        <v>160</v>
      </c>
      <c r="Q60" t="s">
        <v>161</v>
      </c>
    </row>
    <row r="61" spans="2:17" ht="15">
      <c r="B61" t="str">
        <f>'Overhead &amp; interest'!B41:D41</f>
        <v>Percent financed</v>
      </c>
      <c r="D61" s="20">
        <f>'Overhead &amp; interest'!F41</f>
        <v>0.75</v>
      </c>
      <c r="E61" s="20">
        <f>'Overhead &amp; interest'!I41</f>
        <v>1</v>
      </c>
      <c r="F61" s="20">
        <f>'Overhead &amp; interest'!L41</f>
        <v>0</v>
      </c>
      <c r="I61" t="str">
        <f>Results!B11</f>
        <v>Pasture rent</v>
      </c>
      <c r="L61">
        <f>Results!F11</f>
        <v>0</v>
      </c>
      <c r="M61">
        <f>$D$63/12*$D$62*(1-$D$61)</f>
        <v>0.01171875</v>
      </c>
      <c r="N61">
        <f>L61*M61</f>
        <v>0</v>
      </c>
      <c r="O61">
        <f>Results!O11</f>
        <v>0</v>
      </c>
      <c r="P61" s="31">
        <f>(1-$E$61)*$E$62*$E$63/12</f>
        <v>0</v>
      </c>
      <c r="Q61">
        <f>O61*P61</f>
        <v>0</v>
      </c>
    </row>
    <row r="62" spans="2:17" ht="15">
      <c r="B62" t="str">
        <f>'Overhead &amp; interest'!B42:D42</f>
        <v>Months borrowed</v>
      </c>
      <c r="D62" s="30">
        <f>'Overhead &amp; interest'!F42</f>
        <v>9</v>
      </c>
      <c r="E62" s="30">
        <f>'Overhead &amp; interest'!I42</f>
        <v>4</v>
      </c>
      <c r="F62" s="30">
        <f>'Overhead &amp; interest'!L42</f>
        <v>0</v>
      </c>
      <c r="I62" t="str">
        <f>Results!B12</f>
        <v>Pasture operating</v>
      </c>
      <c r="L62">
        <f>Results!F12</f>
        <v>16800</v>
      </c>
      <c r="M62">
        <f>$D$63/12*$D$62*(1-$D$61)</f>
        <v>0.01171875</v>
      </c>
      <c r="N62">
        <f aca="true" t="shared" si="21" ref="N62:N68">L62*M62</f>
        <v>196.875</v>
      </c>
      <c r="O62">
        <f>Results!O12</f>
        <v>0</v>
      </c>
      <c r="P62" s="31">
        <f aca="true" t="shared" si="22" ref="P62:P68">(1-$E$61)*$E$62*$E$63/12</f>
        <v>0</v>
      </c>
      <c r="Q62">
        <f aca="true" t="shared" si="23" ref="Q62:Q68">O62*P62</f>
        <v>0</v>
      </c>
    </row>
    <row r="63" spans="2:17" ht="15">
      <c r="B63" t="str">
        <f>'Overhead &amp; interest'!B43:D43</f>
        <v>Interest rate</v>
      </c>
      <c r="D63" s="20">
        <f>'Overhead &amp; interest'!F43</f>
        <v>0.0625</v>
      </c>
      <c r="E63" s="20">
        <f>'Overhead &amp; interest'!I43</f>
        <v>0.0625</v>
      </c>
      <c r="F63" s="20">
        <f>'Overhead &amp; interest'!L43</f>
        <v>0</v>
      </c>
      <c r="I63" t="str">
        <f>Results!B13</f>
        <v>Hay and feed</v>
      </c>
      <c r="L63">
        <f>Results!F13</f>
        <v>14422.32</v>
      </c>
      <c r="M63">
        <f>$D$63/12*$D$62*(1-$D$61)</f>
        <v>0.01171875</v>
      </c>
      <c r="N63">
        <f t="shared" si="21"/>
        <v>169.0115625</v>
      </c>
      <c r="O63">
        <f>Results!O12</f>
        <v>0</v>
      </c>
      <c r="P63" s="31">
        <f t="shared" si="22"/>
        <v>0</v>
      </c>
      <c r="Q63">
        <f t="shared" si="23"/>
        <v>0</v>
      </c>
    </row>
    <row r="64" spans="9:17" ht="15">
      <c r="I64" t="str">
        <f>Results!B14</f>
        <v>Veterinary etc.</v>
      </c>
      <c r="L64">
        <f>Results!F14</f>
        <v>2677.5</v>
      </c>
      <c r="M64">
        <f>$D$63/12*$D$62*(1-$D$61)</f>
        <v>0.01171875</v>
      </c>
      <c r="N64">
        <f t="shared" si="21"/>
        <v>31.376953125</v>
      </c>
      <c r="O64">
        <f>Results!O14</f>
        <v>0</v>
      </c>
      <c r="P64" s="31">
        <f t="shared" si="22"/>
        <v>0</v>
      </c>
      <c r="Q64">
        <f t="shared" si="23"/>
        <v>0</v>
      </c>
    </row>
    <row r="65" spans="9:17" ht="15">
      <c r="I65" t="e">
        <f>Results!#REF!</f>
        <v>#REF!</v>
      </c>
      <c r="L65" t="e">
        <f>Results!#REF!</f>
        <v>#REF!</v>
      </c>
      <c r="M65">
        <f>$D$63/12*$D$62*(1-$D$61)</f>
        <v>0.01171875</v>
      </c>
      <c r="N65" t="e">
        <f t="shared" si="21"/>
        <v>#REF!</v>
      </c>
      <c r="P65" s="31">
        <f t="shared" si="22"/>
        <v>0</v>
      </c>
      <c r="Q65">
        <f t="shared" si="23"/>
        <v>0</v>
      </c>
    </row>
    <row r="66" spans="9:17" ht="15">
      <c r="I66" t="str">
        <f>Results!B15</f>
        <v>Cash mach, equip, &amp; facilities</v>
      </c>
      <c r="L66">
        <f>Results!F15</f>
        <v>3750</v>
      </c>
      <c r="M66">
        <f>(1-F61)*F62*(F63)/12</f>
        <v>0</v>
      </c>
      <c r="N66">
        <f t="shared" si="21"/>
        <v>0</v>
      </c>
      <c r="O66">
        <f>Results!O15</f>
        <v>0</v>
      </c>
      <c r="P66" s="31">
        <f>M66</f>
        <v>0</v>
      </c>
      <c r="Q66">
        <f t="shared" si="23"/>
        <v>0</v>
      </c>
    </row>
    <row r="67" spans="9:17" ht="15">
      <c r="I67" t="str">
        <f>Results!B16</f>
        <v>Hired labor</v>
      </c>
      <c r="L67">
        <f>Results!F16</f>
        <v>0</v>
      </c>
      <c r="M67">
        <f>$D$63/12*$D$62*(1-$D$61)</f>
        <v>0.01171875</v>
      </c>
      <c r="N67">
        <f t="shared" si="21"/>
        <v>0</v>
      </c>
      <c r="O67">
        <f>Results!O16</f>
        <v>0</v>
      </c>
      <c r="P67" s="31">
        <f t="shared" si="22"/>
        <v>0</v>
      </c>
      <c r="Q67">
        <f t="shared" si="23"/>
        <v>0</v>
      </c>
    </row>
    <row r="68" spans="9:17" ht="15">
      <c r="I68" t="str">
        <f>Results!B17</f>
        <v>Miscellaneous</v>
      </c>
      <c r="L68">
        <f>Results!F17</f>
        <v>0</v>
      </c>
      <c r="M68">
        <f>$D$63/12*$D$62*(1-$D$61)</f>
        <v>0.01171875</v>
      </c>
      <c r="N68">
        <f t="shared" si="21"/>
        <v>0</v>
      </c>
      <c r="O68">
        <f>Results!O17</f>
        <v>0</v>
      </c>
      <c r="P68" s="31">
        <f t="shared" si="22"/>
        <v>0</v>
      </c>
      <c r="Q68">
        <f t="shared" si="23"/>
        <v>0</v>
      </c>
    </row>
    <row r="69" spans="14:17" ht="15">
      <c r="N69" t="e">
        <f>SUM(N61:N68)</f>
        <v>#REF!</v>
      </c>
      <c r="Q69">
        <f>SUM(Q61:Q68)</f>
        <v>0</v>
      </c>
    </row>
    <row r="70" ht="15">
      <c r="I70" t="s">
        <v>76</v>
      </c>
    </row>
    <row r="71" spans="9:11" ht="15">
      <c r="I71" t="s">
        <v>162</v>
      </c>
      <c r="J71" t="s">
        <v>163</v>
      </c>
      <c r="K71" t="s">
        <v>164</v>
      </c>
    </row>
    <row r="75" ht="15">
      <c r="B75" t="s">
        <v>177</v>
      </c>
    </row>
    <row r="76" spans="2:11" ht="18">
      <c r="B76" s="488" t="str">
        <f>Pastures!E4</f>
        <v>Native</v>
      </c>
      <c r="C76" s="488"/>
      <c r="D76" s="488" t="str">
        <f>Pastures!G4</f>
        <v>Bermuda</v>
      </c>
      <c r="E76" s="488"/>
      <c r="F76" s="488" t="str">
        <f>Pastures!I4</f>
        <v>Wheat</v>
      </c>
      <c r="G76" s="488"/>
      <c r="H76" s="488" t="str">
        <f>Pastures!K4</f>
        <v>Native- purch</v>
      </c>
      <c r="I76" s="488"/>
      <c r="J76" s="488" t="str">
        <f>Pastures!M4</f>
        <v>Fescue</v>
      </c>
      <c r="K76" s="488"/>
    </row>
    <row r="77" spans="1:13" ht="18">
      <c r="A77" t="s">
        <v>102</v>
      </c>
      <c r="B77" s="87" t="str">
        <f>B14</f>
        <v>Stocker</v>
      </c>
      <c r="C77" s="87"/>
      <c r="D77" s="87">
        <f>D14</f>
        <v>0</v>
      </c>
      <c r="E77" s="87"/>
      <c r="F77" s="87">
        <f>F14</f>
        <v>0</v>
      </c>
      <c r="G77" s="87"/>
      <c r="H77" s="87">
        <f>H14</f>
        <v>0</v>
      </c>
      <c r="I77" s="87"/>
      <c r="J77" s="87">
        <f>J14</f>
        <v>0</v>
      </c>
      <c r="K77" s="87"/>
      <c r="L77" s="87"/>
      <c r="M77" s="87"/>
    </row>
    <row r="78" spans="1:12" ht="18">
      <c r="A78" t="s">
        <v>178</v>
      </c>
      <c r="B78" s="281">
        <f>Pastures!E16</f>
        <v>0</v>
      </c>
      <c r="C78" s="281"/>
      <c r="D78" s="281">
        <f>Pastures!G16</f>
        <v>4854.3482171217875</v>
      </c>
      <c r="E78" s="281"/>
      <c r="F78" s="281">
        <f>Pastures!I16</f>
        <v>0</v>
      </c>
      <c r="G78" s="281"/>
      <c r="H78" s="281">
        <f>Pastures!K16</f>
        <v>0</v>
      </c>
      <c r="I78" s="281"/>
      <c r="J78" s="281">
        <f>Pastures!M16</f>
        <v>0</v>
      </c>
      <c r="K78" s="281"/>
      <c r="L78">
        <f>SUMPRODUCT(B77:K77,B78:K78)</f>
        <v>0</v>
      </c>
    </row>
    <row r="79" spans="1:13" ht="18">
      <c r="A79" t="s">
        <v>179</v>
      </c>
      <c r="B79" s="487" t="str">
        <f>B20</f>
        <v>stocker pasture overhead</v>
      </c>
      <c r="C79" s="487"/>
      <c r="D79" s="487">
        <f>D20</f>
        <v>0</v>
      </c>
      <c r="E79" s="487"/>
      <c r="F79" s="487">
        <f>F20</f>
        <v>0</v>
      </c>
      <c r="G79" s="487"/>
      <c r="H79" s="487">
        <f>H20</f>
        <v>0</v>
      </c>
      <c r="I79" s="487"/>
      <c r="J79" s="487">
        <f>J20</f>
        <v>0</v>
      </c>
      <c r="K79" s="487"/>
      <c r="L79" s="87">
        <f>SUM(B79:K79)</f>
        <v>0</v>
      </c>
      <c r="M79" s="87"/>
    </row>
    <row r="80" spans="1:11" ht="18">
      <c r="A80" t="s">
        <v>180</v>
      </c>
      <c r="B80" s="487" t="e">
        <f>B77+B79</f>
        <v>#VALUE!</v>
      </c>
      <c r="C80" s="487"/>
      <c r="D80" s="487">
        <f>D77+D79</f>
        <v>0</v>
      </c>
      <c r="E80" s="487"/>
      <c r="F80" s="487">
        <f>F77+F79</f>
        <v>0</v>
      </c>
      <c r="G80" s="487"/>
      <c r="H80" s="487">
        <f>H77+H79</f>
        <v>0</v>
      </c>
      <c r="I80" s="487"/>
      <c r="J80" s="487">
        <f>J77+J79</f>
        <v>0</v>
      </c>
      <c r="K80" s="487"/>
    </row>
    <row r="81" spans="1:11" ht="18">
      <c r="A81" t="s">
        <v>181</v>
      </c>
      <c r="B81" s="487" t="e">
        <f>IF(B77&gt;0,B80/B77,0)</f>
        <v>#VALUE!</v>
      </c>
      <c r="C81" s="487"/>
      <c r="D81" s="487">
        <f>IF(D77&gt;0,D80/D77,0)</f>
        <v>0</v>
      </c>
      <c r="E81" s="487"/>
      <c r="F81" s="487">
        <f>IF(F77&gt;0,F80/F77,0)</f>
        <v>0</v>
      </c>
      <c r="G81" s="487"/>
      <c r="H81" s="487">
        <f>IF(H77&gt;0,H80/H77,0)</f>
        <v>0</v>
      </c>
      <c r="I81" s="487"/>
      <c r="J81" s="487">
        <f>IF(J77&gt;0,J80/J77,0)</f>
        <v>0</v>
      </c>
      <c r="K81" s="487"/>
    </row>
    <row r="82" spans="1:11" ht="18">
      <c r="A82" t="s">
        <v>182</v>
      </c>
      <c r="B82" s="487" t="e">
        <f>IF(B79&gt;0,B80/B79,0)</f>
        <v>#VALUE!</v>
      </c>
      <c r="C82" s="487"/>
      <c r="D82" s="487">
        <f>IF(D79&gt;0,D80/D79,0)</f>
        <v>0</v>
      </c>
      <c r="E82" s="487"/>
      <c r="F82" s="487">
        <f>IF(F79&gt;0,F80/F79,0)</f>
        <v>0</v>
      </c>
      <c r="G82" s="487"/>
      <c r="H82" s="487">
        <f>IF(H79&gt;0,H80/H79,0)</f>
        <v>0</v>
      </c>
      <c r="I82" s="487"/>
      <c r="J82" s="487">
        <f>IF(J79&gt;0,J80/J79,0)</f>
        <v>0</v>
      </c>
      <c r="K82" s="487"/>
    </row>
    <row r="84" ht="15">
      <c r="E84" t="s">
        <v>165</v>
      </c>
    </row>
    <row r="85" spans="2:13" ht="15">
      <c r="B85" t="s">
        <v>183</v>
      </c>
      <c r="C85" t="s">
        <v>184</v>
      </c>
      <c r="D85" s="32" t="s">
        <v>246</v>
      </c>
      <c r="E85" s="32" t="s">
        <v>247</v>
      </c>
      <c r="F85" s="32" t="s">
        <v>185</v>
      </c>
      <c r="M85" t="s">
        <v>270</v>
      </c>
    </row>
    <row r="86" spans="2:13" ht="15">
      <c r="B86" t="s">
        <v>123</v>
      </c>
      <c r="C86" t="s">
        <v>100</v>
      </c>
      <c r="D86" s="70">
        <v>34</v>
      </c>
      <c r="E86" s="70">
        <v>0</v>
      </c>
      <c r="F86" s="70"/>
      <c r="M86" t="s">
        <v>271</v>
      </c>
    </row>
    <row r="87" spans="2:13" ht="15">
      <c r="B87" t="s">
        <v>123</v>
      </c>
      <c r="C87" t="s">
        <v>124</v>
      </c>
      <c r="D87" s="70">
        <v>8</v>
      </c>
      <c r="E87" s="70">
        <v>0</v>
      </c>
      <c r="F87" s="70"/>
      <c r="M87" t="s">
        <v>272</v>
      </c>
    </row>
    <row r="88" spans="2:13" ht="15">
      <c r="B88" t="s">
        <v>124</v>
      </c>
      <c r="C88" t="s">
        <v>100</v>
      </c>
      <c r="D88" s="70">
        <v>15.8</v>
      </c>
      <c r="E88" s="70">
        <v>-3.5527136788005E-15</v>
      </c>
      <c r="F88" s="70">
        <v>19</v>
      </c>
      <c r="M88" t="s">
        <v>273</v>
      </c>
    </row>
    <row r="89" spans="2:13" ht="15">
      <c r="B89" t="s">
        <v>124</v>
      </c>
      <c r="C89" t="s">
        <v>124</v>
      </c>
      <c r="D89" s="70">
        <v>2.4</v>
      </c>
      <c r="E89" s="70">
        <v>4.44089209850063E-16</v>
      </c>
      <c r="F89" s="70">
        <v>6</v>
      </c>
      <c r="I89" s="70"/>
      <c r="M89" t="s">
        <v>274</v>
      </c>
    </row>
    <row r="90" ht="15">
      <c r="M90" t="s">
        <v>275</v>
      </c>
    </row>
    <row r="91" spans="3:13" ht="15">
      <c r="C91" t="s">
        <v>242</v>
      </c>
      <c r="E91" t="s">
        <v>242</v>
      </c>
      <c r="M91" t="s">
        <v>276</v>
      </c>
    </row>
    <row r="92" spans="2:13" ht="15">
      <c r="B92" t="s">
        <v>198</v>
      </c>
      <c r="C92" t="s">
        <v>239</v>
      </c>
      <c r="D92" t="s">
        <v>241</v>
      </c>
      <c r="E92" t="s">
        <v>240</v>
      </c>
      <c r="F92" t="s">
        <v>241</v>
      </c>
      <c r="G92" t="s">
        <v>243</v>
      </c>
      <c r="H92" t="s">
        <v>16</v>
      </c>
      <c r="M92" t="s">
        <v>277</v>
      </c>
    </row>
    <row r="93" spans="2:13" ht="15">
      <c r="B93" t="s">
        <v>100</v>
      </c>
      <c r="C93">
        <f>('Overhead &amp; interest'!E48+'Overhead &amp; interest'!G48)/2</f>
        <v>1032.5</v>
      </c>
      <c r="D93" s="30">
        <f>'Cows, heifers, &amp; bulls'!E10</f>
        <v>80</v>
      </c>
      <c r="E93">
        <f>('Overhead &amp; interest'!E49+'Overhead &amp; interest'!G49)/2</f>
        <v>1220</v>
      </c>
      <c r="F93" s="30">
        <f>'Cows, heifers, &amp; bulls'!E12</f>
        <v>0</v>
      </c>
      <c r="G93">
        <f>'Cows, heifers, &amp; bulls'!$E$14</f>
        <v>0.01</v>
      </c>
      <c r="H93" s="30">
        <f>SUMPRODUCT(C93:C96,D93:D96,G93:G96)</f>
        <v>1235.625</v>
      </c>
      <c r="J93" s="30"/>
      <c r="M93" t="s">
        <v>278</v>
      </c>
    </row>
    <row r="94" spans="2:13" ht="15">
      <c r="B94" t="s">
        <v>101</v>
      </c>
      <c r="C94">
        <f>('Overhead &amp; interest'!E50+'Overhead &amp; interest'!G50)/2</f>
        <v>970</v>
      </c>
      <c r="D94" s="30">
        <f>'Cows, heifers, &amp; bulls'!G10</f>
        <v>20</v>
      </c>
      <c r="E94">
        <f>('Overhead &amp; interest'!E51+'Overhead &amp; interest'!G51)/2</f>
        <v>1220</v>
      </c>
      <c r="F94" s="30">
        <f>'Cows, heifers, &amp; bulls'!G12</f>
        <v>0</v>
      </c>
      <c r="G94">
        <f>'Cows, heifers, &amp; bulls'!$G$14</f>
        <v>0.01</v>
      </c>
      <c r="H94">
        <f>SUMPRODUCT(E93:E96,F93:F96,G93:G96)</f>
        <v>25.125</v>
      </c>
      <c r="M94" t="s">
        <v>279</v>
      </c>
    </row>
    <row r="95" spans="2:13" ht="15">
      <c r="B95" t="s">
        <v>124</v>
      </c>
      <c r="C95">
        <f>('Overhead &amp; interest'!E52+'Overhead &amp; interest'!G52)/2</f>
        <v>862.5</v>
      </c>
      <c r="D95" s="30">
        <f>'Cows, heifers, &amp; bulls'!I10</f>
        <v>25</v>
      </c>
      <c r="E95">
        <f>('Overhead &amp; interest'!E52+'Overhead &amp; interest'!G52)/2</f>
        <v>862.5</v>
      </c>
      <c r="F95" s="30">
        <f>'Cows, heifers, &amp; bulls'!I12</f>
        <v>0</v>
      </c>
      <c r="G95">
        <f>'Cows, heifers, &amp; bulls'!$I$14</f>
        <v>0.01</v>
      </c>
      <c r="H95">
        <f aca="true" t="shared" si="24" ref="H95:H96">SUMPRODUCT(E94:E97,F94:F97,G94:G97)</f>
        <v>25.125</v>
      </c>
      <c r="I95" t="s">
        <v>93</v>
      </c>
      <c r="M95" t="s">
        <v>280</v>
      </c>
    </row>
    <row r="96" spans="2:13" ht="15">
      <c r="B96" t="s">
        <v>121</v>
      </c>
      <c r="C96">
        <f>('Overhead &amp; interest'!E53+'Overhead &amp; interest'!G53)/2</f>
        <v>837.5</v>
      </c>
      <c r="D96" s="30">
        <f>'Cows, heifers, &amp; bulls'!K10</f>
        <v>0</v>
      </c>
      <c r="E96">
        <f>('Overhead &amp; interest'!E53+'Overhead &amp; interest'!G53)/2</f>
        <v>837.5</v>
      </c>
      <c r="F96" s="30">
        <f>'Cows, heifers, &amp; bulls'!K12</f>
        <v>3</v>
      </c>
      <c r="G96">
        <f>'Cows, heifers, &amp; bulls'!$K$14</f>
        <v>0.01</v>
      </c>
      <c r="H96">
        <f t="shared" si="24"/>
        <v>25.125</v>
      </c>
      <c r="M96" t="s">
        <v>281</v>
      </c>
    </row>
    <row r="97" ht="15">
      <c r="H97" s="30">
        <f>SUM(H93:H96)</f>
        <v>1311</v>
      </c>
    </row>
  </sheetData>
  <mergeCells count="146">
    <mergeCell ref="Q17:R17"/>
    <mergeCell ref="G19:H19"/>
    <mergeCell ref="I19:J19"/>
    <mergeCell ref="K19:L19"/>
    <mergeCell ref="M19:N19"/>
    <mergeCell ref="O19:P19"/>
    <mergeCell ref="M17:N17"/>
    <mergeCell ref="E19:F19"/>
    <mergeCell ref="O15:P15"/>
    <mergeCell ref="M15:N15"/>
    <mergeCell ref="O17:P17"/>
    <mergeCell ref="M11:N11"/>
    <mergeCell ref="O11:P11"/>
    <mergeCell ref="E12:F12"/>
    <mergeCell ref="G12:H12"/>
    <mergeCell ref="I12:J12"/>
    <mergeCell ref="K12:L12"/>
    <mergeCell ref="M12:N12"/>
    <mergeCell ref="O12:P12"/>
    <mergeCell ref="E20:F20"/>
    <mergeCell ref="O13:P13"/>
    <mergeCell ref="E14:F14"/>
    <mergeCell ref="G14:H14"/>
    <mergeCell ref="I14:J14"/>
    <mergeCell ref="K14:L14"/>
    <mergeCell ref="M14:N14"/>
    <mergeCell ref="O14:P14"/>
    <mergeCell ref="M13:N13"/>
    <mergeCell ref="O3:P3"/>
    <mergeCell ref="I4:J4"/>
    <mergeCell ref="O4:P4"/>
    <mergeCell ref="K3:L3"/>
    <mergeCell ref="M3:N3"/>
    <mergeCell ref="O5:P5"/>
    <mergeCell ref="I6:J6"/>
    <mergeCell ref="O6:P6"/>
    <mergeCell ref="I7:J7"/>
    <mergeCell ref="O7:P7"/>
    <mergeCell ref="K5:L5"/>
    <mergeCell ref="M5:N5"/>
    <mergeCell ref="I5:J5"/>
    <mergeCell ref="K7:L7"/>
    <mergeCell ref="M7:N7"/>
    <mergeCell ref="E3:F3"/>
    <mergeCell ref="G3:H3"/>
    <mergeCell ref="E4:F4"/>
    <mergeCell ref="G4:H4"/>
    <mergeCell ref="K4:L4"/>
    <mergeCell ref="M4:N4"/>
    <mergeCell ref="B3:D4"/>
    <mergeCell ref="B2:G2"/>
    <mergeCell ref="I3:J3"/>
    <mergeCell ref="E7:F7"/>
    <mergeCell ref="G7:H7"/>
    <mergeCell ref="E6:F6"/>
    <mergeCell ref="G6:H6"/>
    <mergeCell ref="K6:L6"/>
    <mergeCell ref="M6:N6"/>
    <mergeCell ref="E5:F5"/>
    <mergeCell ref="G5:H5"/>
    <mergeCell ref="B5:D5"/>
    <mergeCell ref="B6:D6"/>
    <mergeCell ref="B7:D7"/>
    <mergeCell ref="Q43:R43"/>
    <mergeCell ref="K44:L44"/>
    <mergeCell ref="M44:N44"/>
    <mergeCell ref="O44:P44"/>
    <mergeCell ref="Q44:R44"/>
    <mergeCell ref="K45:L45"/>
    <mergeCell ref="M45:N45"/>
    <mergeCell ref="O45:P45"/>
    <mergeCell ref="Q45:R45"/>
    <mergeCell ref="K43:L43"/>
    <mergeCell ref="M43:N43"/>
    <mergeCell ref="O43:P43"/>
    <mergeCell ref="K46:L46"/>
    <mergeCell ref="M46:N46"/>
    <mergeCell ref="O46:P46"/>
    <mergeCell ref="Q46:R46"/>
    <mergeCell ref="K47:L47"/>
    <mergeCell ref="M47:N47"/>
    <mergeCell ref="O47:P47"/>
    <mergeCell ref="Q47:R47"/>
    <mergeCell ref="I48:J48"/>
    <mergeCell ref="K48:L48"/>
    <mergeCell ref="M48:N48"/>
    <mergeCell ref="O48:P48"/>
    <mergeCell ref="Q48:R48"/>
    <mergeCell ref="F79:G79"/>
    <mergeCell ref="H79:I79"/>
    <mergeCell ref="J79:K79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J77:K77"/>
    <mergeCell ref="L77:M77"/>
    <mergeCell ref="B78:C78"/>
    <mergeCell ref="B82:C82"/>
    <mergeCell ref="D82:E82"/>
    <mergeCell ref="F82:G82"/>
    <mergeCell ref="H82:I82"/>
    <mergeCell ref="J82:K82"/>
    <mergeCell ref="L79:M79"/>
    <mergeCell ref="B80:C80"/>
    <mergeCell ref="D80:E80"/>
    <mergeCell ref="F80:G80"/>
    <mergeCell ref="H80:I80"/>
    <mergeCell ref="J80:K80"/>
    <mergeCell ref="B81:C81"/>
    <mergeCell ref="D81:E81"/>
    <mergeCell ref="F81:G81"/>
    <mergeCell ref="H81:I81"/>
    <mergeCell ref="J81:K81"/>
    <mergeCell ref="D78:E78"/>
    <mergeCell ref="F78:G78"/>
    <mergeCell ref="H78:I78"/>
    <mergeCell ref="J78:K78"/>
    <mergeCell ref="B79:C79"/>
    <mergeCell ref="D79:E79"/>
    <mergeCell ref="B10:I10"/>
    <mergeCell ref="K17:L17"/>
    <mergeCell ref="B11:D12"/>
    <mergeCell ref="B13:D13"/>
    <mergeCell ref="B14:D14"/>
    <mergeCell ref="B15:D15"/>
    <mergeCell ref="E15:F15"/>
    <mergeCell ref="G15:H15"/>
    <mergeCell ref="I15:J15"/>
    <mergeCell ref="K15:L15"/>
    <mergeCell ref="E13:F13"/>
    <mergeCell ref="G13:H13"/>
    <mergeCell ref="I13:J13"/>
    <mergeCell ref="K13:L13"/>
    <mergeCell ref="E17:F17"/>
    <mergeCell ref="G17:H17"/>
    <mergeCell ref="I17:J17"/>
    <mergeCell ref="E11:F11"/>
    <mergeCell ref="G11:H11"/>
    <mergeCell ref="I11:J11"/>
    <mergeCell ref="K11:L1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DeVuyst</dc:creator>
  <cp:keywords/>
  <dc:description/>
  <cp:lastModifiedBy>Thomison, Julianne</cp:lastModifiedBy>
  <cp:lastPrinted>2009-06-02T14:26:32Z</cp:lastPrinted>
  <dcterms:created xsi:type="dcterms:W3CDTF">2008-12-18T14:53:13Z</dcterms:created>
  <dcterms:modified xsi:type="dcterms:W3CDTF">2021-09-13T14:10:12Z</dcterms:modified>
  <cp:category/>
  <cp:version/>
  <cp:contentType/>
  <cp:contentStatus/>
</cp:coreProperties>
</file>