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bookViews>
    <workbookView xWindow="0" yWindow="0" windowWidth="23040" windowHeight="9192" activeTab="0"/>
  </bookViews>
  <sheets>
    <sheet name="SalaryBenefits" sheetId="5" r:id="rId1"/>
    <sheet name="Housing" sheetId="1" r:id="rId2"/>
    <sheet name="Transportation" sheetId="2" r:id="rId3"/>
    <sheet name="Livestock" sheetId="3" r:id="rId4"/>
    <sheet name="Summary" sheetId="4" r:id="rId5"/>
    <sheet name="Graphs" sheetId="6" r:id="rId6"/>
  </sheets>
  <definedNames/>
  <calcPr calcId="162913" iterate="1" iterateCount="1" iterateDelta="0.001"/>
</workbook>
</file>

<file path=xl/comments1.xml><?xml version="1.0" encoding="utf-8"?>
<comments xmlns="http://schemas.openxmlformats.org/spreadsheetml/2006/main">
  <authors>
    <author>Sahs, Roger Vaughn</author>
  </authors>
  <commentList>
    <comment ref="B26" authorId="0">
      <text>
        <r>
          <rPr>
            <b/>
            <sz val="9"/>
            <rFont val="Tahoma"/>
            <family val="2"/>
          </rPr>
          <t xml:space="preserve">Rates subject ot compensation change periodically.  Federal withholding information can be found in IRS Publication 15 Circular E.  </t>
        </r>
      </text>
    </comment>
    <comment ref="B29" authorId="0">
      <text>
        <r>
          <rPr>
            <b/>
            <sz val="9"/>
            <rFont val="Tahoma"/>
            <family val="2"/>
          </rPr>
          <t>The Oklahoma Tax Commission website has forms and information for withholding on wages earned in Oklahoma.</t>
        </r>
        <r>
          <rPr>
            <sz val="9"/>
            <rFont val="Tahoma"/>
            <family val="2"/>
          </rPr>
          <t xml:space="preserve">
</t>
        </r>
      </text>
    </comment>
    <comment ref="F35" authorId="0">
      <text>
        <r>
          <rPr>
            <b/>
            <sz val="9"/>
            <rFont val="Tahoma"/>
            <family val="2"/>
          </rPr>
          <t>Percentage of cash salary.</t>
        </r>
        <r>
          <rPr>
            <sz val="9"/>
            <rFont val="Tahoma"/>
            <family val="2"/>
          </rPr>
          <t xml:space="preserve">
</t>
        </r>
      </text>
    </comment>
    <comment ref="F36" authorId="0">
      <text>
        <r>
          <rPr>
            <b/>
            <sz val="9"/>
            <rFont val="Tahoma"/>
            <family val="2"/>
          </rPr>
          <t>Percentage of cash salary.</t>
        </r>
        <r>
          <rPr>
            <sz val="9"/>
            <rFont val="Tahoma"/>
            <family val="2"/>
          </rPr>
          <t xml:space="preserve">
</t>
        </r>
      </text>
    </comment>
  </commentList>
</comments>
</file>

<file path=xl/comments2.xml><?xml version="1.0" encoding="utf-8"?>
<comments xmlns="http://schemas.openxmlformats.org/spreadsheetml/2006/main">
  <authors>
    <author>Sahs, Roger Vaughn</author>
  </authors>
  <commentList>
    <comment ref="C3" authorId="0">
      <text>
        <r>
          <rPr>
            <b/>
            <sz val="9"/>
            <rFont val="Tahoma"/>
            <family val="2"/>
          </rPr>
          <t>Enter 1 to itemize housing costs paid by the employer and 2 to zero-out housing costs in the summary section.</t>
        </r>
        <r>
          <rPr>
            <sz val="9"/>
            <rFont val="Tahoma"/>
            <family val="2"/>
          </rPr>
          <t xml:space="preserve">
</t>
        </r>
      </text>
    </comment>
  </commentList>
</comments>
</file>

<file path=xl/comments3.xml><?xml version="1.0" encoding="utf-8"?>
<comments xmlns="http://schemas.openxmlformats.org/spreadsheetml/2006/main">
  <authors>
    <author>Sahs, Roger Vaughn</author>
  </authors>
  <commentList>
    <comment ref="C3" authorId="0">
      <text>
        <r>
          <rPr>
            <b/>
            <sz val="9"/>
            <rFont val="Tahoma"/>
            <family val="2"/>
          </rPr>
          <t>Enter 1 to itemize transportation costs paid by the employer and 2 to zero-out transportation costs in the summary section.</t>
        </r>
        <r>
          <rPr>
            <sz val="9"/>
            <rFont val="Tahoma"/>
            <family val="2"/>
          </rPr>
          <t xml:space="preserve">
</t>
        </r>
      </text>
    </comment>
    <comment ref="B49" authorId="0">
      <text>
        <r>
          <rPr>
            <b/>
            <sz val="9"/>
            <rFont val="Tahoma"/>
            <family val="2"/>
          </rPr>
          <t>Includes license/tax fees, insurance, and any additional cash allowances.</t>
        </r>
        <r>
          <rPr>
            <sz val="9"/>
            <rFont val="Tahoma"/>
            <family val="2"/>
          </rPr>
          <t xml:space="preserve">
</t>
        </r>
      </text>
    </comment>
    <comment ref="B50" authorId="0">
      <text>
        <r>
          <rPr>
            <b/>
            <sz val="9"/>
            <rFont val="Tahoma"/>
            <family val="2"/>
          </rPr>
          <t>Includes non-cash interest and depreciation.</t>
        </r>
        <r>
          <rPr>
            <sz val="9"/>
            <rFont val="Tahoma"/>
            <family val="2"/>
          </rPr>
          <t xml:space="preserve">
</t>
        </r>
      </text>
    </comment>
  </commentList>
</comments>
</file>

<file path=xl/comments4.xml><?xml version="1.0" encoding="utf-8"?>
<comments xmlns="http://schemas.openxmlformats.org/spreadsheetml/2006/main">
  <authors>
    <author>Roger Sahs</author>
    <author>Sahs, Roger Vaughn</author>
  </authors>
  <commentList>
    <comment ref="B7" authorId="0">
      <text>
        <r>
          <rPr>
            <b/>
            <sz val="9"/>
            <rFont val="Tahoma"/>
            <family val="2"/>
          </rPr>
          <t>Use this line item for pasture grazing benefits provided by the employer.  Refer to OSU Current Report 216 "Oklahoma Pasture Rental Rates" for comparable rental rates in the area.</t>
        </r>
        <r>
          <rPr>
            <sz val="8"/>
            <rFont val="Tahoma"/>
            <family val="2"/>
          </rPr>
          <t xml:space="preserve">
</t>
        </r>
      </text>
    </comment>
    <comment ref="B11" authorId="1">
      <text>
        <r>
          <rPr>
            <b/>
            <sz val="9"/>
            <rFont val="Tahoma"/>
            <family val="2"/>
          </rPr>
          <t>Examples include employer provided non-cash credit for housing, feed, and tack items for the employee's horse.</t>
        </r>
        <r>
          <rPr>
            <sz val="9"/>
            <rFont val="Tahoma"/>
            <family val="2"/>
          </rPr>
          <t xml:space="preserve">
</t>
        </r>
      </text>
    </comment>
  </commentList>
</comments>
</file>

<file path=xl/comments5.xml><?xml version="1.0" encoding="utf-8"?>
<comments xmlns="http://schemas.openxmlformats.org/spreadsheetml/2006/main">
  <authors>
    <author>Roger Sahs</author>
  </authors>
  <commentList>
    <comment ref="B15" authorId="0">
      <text>
        <r>
          <rPr>
            <b/>
            <sz val="9"/>
            <rFont val="Tahoma"/>
            <family val="2"/>
          </rPr>
          <t>Outflow will differ from cash cost only if mortgage is being paid.</t>
        </r>
        <r>
          <rPr>
            <sz val="8"/>
            <rFont val="Tahoma"/>
            <family val="2"/>
          </rPr>
          <t xml:space="preserve">
</t>
        </r>
      </text>
    </comment>
    <comment ref="E46" authorId="0">
      <text>
        <r>
          <rPr>
            <b/>
            <sz val="9"/>
            <rFont val="Tahoma"/>
            <family val="2"/>
          </rPr>
          <t>Calculated by taking total annual hours of work and dividing by average hours of work daily.</t>
        </r>
        <r>
          <rPr>
            <sz val="8"/>
            <rFont val="Tahoma"/>
            <family val="2"/>
          </rPr>
          <t xml:space="preserve">
</t>
        </r>
      </text>
    </comment>
  </commentList>
</comments>
</file>

<file path=xl/sharedStrings.xml><?xml version="1.0" encoding="utf-8"?>
<sst xmlns="http://schemas.openxmlformats.org/spreadsheetml/2006/main" count="298" uniqueCount="204">
  <si>
    <t>Salary and Benefits</t>
  </si>
  <si>
    <t>Cash, Non-cash and Total Costs Per Hour</t>
  </si>
  <si>
    <t>Cost By Component</t>
  </si>
  <si>
    <t>Description of Employment Position:</t>
  </si>
  <si>
    <t xml:space="preserve"> Ranch Worker</t>
  </si>
  <si>
    <t xml:space="preserve">Date:  </t>
  </si>
  <si>
    <t>/gnuCost/hr~q</t>
  </si>
  <si>
    <t>/gnuType~q</t>
  </si>
  <si>
    <t>Salary</t>
  </si>
  <si>
    <t>Benefits</t>
  </si>
  <si>
    <t>Housing</t>
  </si>
  <si>
    <t>Transportation</t>
  </si>
  <si>
    <t>Livestock</t>
  </si>
  <si>
    <t>A.  Salary</t>
  </si>
  <si>
    <t>Pay</t>
  </si>
  <si>
    <t xml:space="preserve">No. of </t>
  </si>
  <si>
    <t xml:space="preserve">  Annual</t>
  </si>
  <si>
    <t xml:space="preserve">  Cash Costs of Salary</t>
  </si>
  <si>
    <t>Pay Rate</t>
  </si>
  <si>
    <t>Period</t>
  </si>
  <si>
    <t>Periods</t>
  </si>
  <si>
    <t>Total</t>
  </si>
  <si>
    <t>$/Year</t>
  </si>
  <si>
    <t>$/Month</t>
  </si>
  <si>
    <t>$/Week</t>
  </si>
  <si>
    <t>$/Hour</t>
  </si>
  <si>
    <t xml:space="preserve">   Overtime Compensation</t>
  </si>
  <si>
    <t xml:space="preserve">   Cash Bonus</t>
  </si>
  <si>
    <t xml:space="preserve"> Total Cash Cost of Salary</t>
  </si>
  <si>
    <t>Compensation</t>
  </si>
  <si>
    <t>Subject to Tax</t>
  </si>
  <si>
    <t xml:space="preserve">    Rate %</t>
  </si>
  <si>
    <t xml:space="preserve">   FICA/Medicare</t>
  </si>
  <si>
    <t xml:space="preserve">   Federal Unemployment</t>
  </si>
  <si>
    <t xml:space="preserve">   State Unemployment</t>
  </si>
  <si>
    <t xml:space="preserve">   Employers' Part of Workman Compensation</t>
  </si>
  <si>
    <t xml:space="preserve">   Other</t>
  </si>
  <si>
    <t xml:space="preserve"> Benefits</t>
  </si>
  <si>
    <t xml:space="preserve">   Taxable Retirement Contribution</t>
  </si>
  <si>
    <t xml:space="preserve">   Non-Taxable Retirement Contribution</t>
  </si>
  <si>
    <t xml:space="preserve">   Employers' Part of Health/Dental Insurance</t>
  </si>
  <si>
    <t xml:space="preserve">   Cash Food Allowance</t>
  </si>
  <si>
    <t xml:space="preserve">     Total Benefits</t>
  </si>
  <si>
    <t xml:space="preserve"> Non-Cash On-Farm or Ranch Produced Food Allowance (specify by item)</t>
  </si>
  <si>
    <t xml:space="preserve">   Meat</t>
  </si>
  <si>
    <t xml:space="preserve">   Garden Food</t>
  </si>
  <si>
    <t xml:space="preserve"> Total Non-Cash On-Farm or Ranch Produced Food Allowance </t>
  </si>
  <si>
    <t xml:space="preserve"> Total Cash and Non-Cash Benefits</t>
  </si>
  <si>
    <t>\M</t>
  </si>
  <si>
    <t>/xmO3~</t>
  </si>
  <si>
    <t>Housing Cost Calculator</t>
  </si>
  <si>
    <t xml:space="preserve">C.  Housing </t>
  </si>
  <si>
    <t>Unit</t>
  </si>
  <si>
    <t>Cost</t>
  </si>
  <si>
    <t xml:space="preserve"> Cash Costs Paid by Employer</t>
  </si>
  <si>
    <t xml:space="preserve">    Utilities</t>
  </si>
  <si>
    <t xml:space="preserve">    Maintenance</t>
  </si>
  <si>
    <t xml:space="preserve">    Insurance</t>
  </si>
  <si>
    <t xml:space="preserve">    Taxes</t>
  </si>
  <si>
    <t xml:space="preserve">    Other Cash Costs</t>
  </si>
  <si>
    <t xml:space="preserve">      Total Cash Costs</t>
  </si>
  <si>
    <t xml:space="preserve"> House Mortgage Payments (if being made)</t>
  </si>
  <si>
    <t xml:space="preserve">    Principal Payment</t>
  </si>
  <si>
    <t xml:space="preserve">    Interest Payment</t>
  </si>
  <si>
    <t xml:space="preserve">      Total Mortgage Payment</t>
  </si>
  <si>
    <t xml:space="preserve"> Total Cash Outflow of House with Mortgage</t>
  </si>
  <si>
    <t xml:space="preserve"> Non-Cash Costs of House</t>
  </si>
  <si>
    <t xml:space="preserve">Property </t>
  </si>
  <si>
    <t>Interest</t>
  </si>
  <si>
    <t>Value</t>
  </si>
  <si>
    <t>Rate %</t>
  </si>
  <si>
    <t>1/2 of Val.</t>
  </si>
  <si>
    <t xml:space="preserve">   Interest on Average Investment</t>
  </si>
  <si>
    <t xml:space="preserve">Annual </t>
  </si>
  <si>
    <t>Life</t>
  </si>
  <si>
    <t>Depreciation</t>
  </si>
  <si>
    <t xml:space="preserve">   Depreciation (straight line)</t>
  </si>
  <si>
    <t xml:space="preserve"> Total Non-Cash Cost of Housing</t>
  </si>
  <si>
    <t>Monthly</t>
  </si>
  <si>
    <t>Annual</t>
  </si>
  <si>
    <t xml:space="preserve">   Non-Cash Rental Rate Of Equal Housing</t>
  </si>
  <si>
    <t xml:space="preserve">   Total Cash Cost of Rent If Paid by Employer</t>
  </si>
  <si>
    <t xml:space="preserve"> Total Housing Cost Summary</t>
  </si>
  <si>
    <t xml:space="preserve">  Method Used To Calculate Cost </t>
  </si>
  <si>
    <t xml:space="preserve">   (If rent equivalent enter 1, otherwise enter 0 so that</t>
  </si>
  <si>
    <t xml:space="preserve">   Housing Cash Costs</t>
  </si>
  <si>
    <t xml:space="preserve">   Housing Non-Cash Costs</t>
  </si>
  <si>
    <t xml:space="preserve">   Housing Cash and Non-Cash Costs</t>
  </si>
  <si>
    <t>Transportation Costs Calculation</t>
  </si>
  <si>
    <t xml:space="preserve"> Number of Miles Per Year</t>
  </si>
  <si>
    <t>Miles</t>
  </si>
  <si>
    <t xml:space="preserve"> Percent of Miles Used For Employee's</t>
  </si>
  <si>
    <t xml:space="preserve">     Personal Use</t>
  </si>
  <si>
    <t>%</t>
  </si>
  <si>
    <t xml:space="preserve">Vehicle </t>
  </si>
  <si>
    <t>Values</t>
  </si>
  <si>
    <t xml:space="preserve"> Operating or Variable Cost</t>
  </si>
  <si>
    <t xml:space="preserve">    Fuel</t>
  </si>
  <si>
    <t>Dol./Mi.</t>
  </si>
  <si>
    <t xml:space="preserve">    Tires</t>
  </si>
  <si>
    <t xml:space="preserve">    Repair &amp; Maintenance</t>
  </si>
  <si>
    <t xml:space="preserve"> Annual Operating or Variable Cost</t>
  </si>
  <si>
    <t>Dol.</t>
  </si>
  <si>
    <t xml:space="preserve">   Fixed Costs</t>
  </si>
  <si>
    <t xml:space="preserve">     License / Tax</t>
  </si>
  <si>
    <t xml:space="preserve">     Insurance</t>
  </si>
  <si>
    <t xml:space="preserve">     Interest (non-cash)</t>
  </si>
  <si>
    <t xml:space="preserve">     Depreciation</t>
  </si>
  <si>
    <t xml:space="preserve">       Total Fixed Cost</t>
  </si>
  <si>
    <t xml:space="preserve"> Total Annual Fixed Cost</t>
  </si>
  <si>
    <t xml:space="preserve"> Other cash allowances for transportation costs</t>
  </si>
  <si>
    <t xml:space="preserve"> Total Annual Cash Cost</t>
  </si>
  <si>
    <t xml:space="preserve"> Total Annual Non-cash Cost</t>
  </si>
  <si>
    <t xml:space="preserve"> Total Annual Cost</t>
  </si>
  <si>
    <t>Vehicle</t>
  </si>
  <si>
    <t xml:space="preserve">    Input Data</t>
  </si>
  <si>
    <t>Units</t>
  </si>
  <si>
    <t xml:space="preserve">    Current Value  </t>
  </si>
  <si>
    <t xml:space="preserve">    Total Miles Used (useful life)</t>
  </si>
  <si>
    <t>Mile</t>
  </si>
  <si>
    <t xml:space="preserve">    Current Mileage</t>
  </si>
  <si>
    <t xml:space="preserve">    Salvage Value (trade or junk)</t>
  </si>
  <si>
    <t xml:space="preserve">    Annual Miles of Use </t>
  </si>
  <si>
    <t xml:space="preserve">    Fuel Use (miles per gallon)</t>
  </si>
  <si>
    <t>Gal.</t>
  </si>
  <si>
    <t xml:space="preserve">    Cost of Fuel</t>
  </si>
  <si>
    <t>$/Gal.</t>
  </si>
  <si>
    <t xml:space="preserve">    Interest Rate on Capital</t>
  </si>
  <si>
    <t xml:space="preserve">    %  </t>
  </si>
  <si>
    <t xml:space="preserve">    Annual License &amp; Tax </t>
  </si>
  <si>
    <t xml:space="preserve">    Annual Insurance</t>
  </si>
  <si>
    <t xml:space="preserve">    Tire Cost (per set)</t>
  </si>
  <si>
    <t xml:space="preserve">    Tire Life in Miles</t>
  </si>
  <si>
    <t xml:space="preserve">    Annual Repair &amp; Maintenance Cost</t>
  </si>
  <si>
    <t>Per Mile and Annual Costs</t>
  </si>
  <si>
    <t xml:space="preserve">   Cost Component</t>
  </si>
  <si>
    <t xml:space="preserve">   Operating or Variable Cost</t>
  </si>
  <si>
    <t xml:space="preserve">     Fuel</t>
  </si>
  <si>
    <t xml:space="preserve">     Tires</t>
  </si>
  <si>
    <t xml:space="preserve">     Repair &amp; Maintenance</t>
  </si>
  <si>
    <t xml:space="preserve"> Total Operating or Variable Cost</t>
  </si>
  <si>
    <t xml:space="preserve"> Total Cost per Mile</t>
  </si>
  <si>
    <t xml:space="preserve"> Total Cash Costs per Mile </t>
  </si>
  <si>
    <t xml:space="preserve"> Total Cash Costs </t>
  </si>
  <si>
    <t/>
  </si>
  <si>
    <t>Allowances for Horses or Other Livestock Paid by Employer</t>
  </si>
  <si>
    <t>E.  Allowances for horses or other livestock paid by employer</t>
  </si>
  <si>
    <t xml:space="preserve"> Total Annual Employer Cost</t>
  </si>
  <si>
    <t>Employee Non-Cash Credit For Horse</t>
  </si>
  <si>
    <t>Summary of Labor or Hired Management Costs</t>
  </si>
  <si>
    <t>Percent of</t>
  </si>
  <si>
    <t xml:space="preserve">A.  Salary </t>
  </si>
  <si>
    <t xml:space="preserve"> Total Cash Cost of Benefits</t>
  </si>
  <si>
    <t xml:space="preserve">    Total Cash and Non-cash Cost of Benefits</t>
  </si>
  <si>
    <t xml:space="preserve"> Housing Cash Costs</t>
  </si>
  <si>
    <t xml:space="preserve"> Housing Non-Cash Costs</t>
  </si>
  <si>
    <t xml:space="preserve">    Housing Cash and Non-Cash Costs</t>
  </si>
  <si>
    <t>D.  Transportation Costs</t>
  </si>
  <si>
    <t xml:space="preserve"> Total Annual Non-Cash Cost</t>
  </si>
  <si>
    <t xml:space="preserve">    Total Annual Cost</t>
  </si>
  <si>
    <t xml:space="preserve"> Total Annual Non-Cash Cost Adjusted For Horse Credit</t>
  </si>
  <si>
    <t xml:space="preserve"> Total Annual Cash Outflow</t>
  </si>
  <si>
    <t xml:space="preserve">  Number of Normal Working Days Per Year</t>
  </si>
  <si>
    <t>Days</t>
  </si>
  <si>
    <t xml:space="preserve">  Average Hours of Work Daily</t>
  </si>
  <si>
    <t>Hrs/Day</t>
  </si>
  <si>
    <t>Hrs/Year</t>
  </si>
  <si>
    <t xml:space="preserve"> Annual Total Overtime Hours</t>
  </si>
  <si>
    <t xml:space="preserve"> Total Annual Hours of Work</t>
  </si>
  <si>
    <t xml:space="preserve"> Per Hour</t>
  </si>
  <si>
    <t xml:space="preserve"> Total Cash Cost</t>
  </si>
  <si>
    <t xml:space="preserve"> Total Non-Cash Cost</t>
  </si>
  <si>
    <t xml:space="preserve"> Total Cost</t>
  </si>
  <si>
    <t xml:space="preserve"> Total Cash Outflow</t>
  </si>
  <si>
    <t xml:space="preserve"> Taxable Earnings of Employee</t>
  </si>
  <si>
    <t xml:space="preserve"> Tax Deductible Costs by Employer</t>
  </si>
  <si>
    <t xml:space="preserve">     Total Cash Cost of Salary</t>
  </si>
  <si>
    <t xml:space="preserve">      Total Operating Cost</t>
  </si>
  <si>
    <t xml:space="preserve">  Annual Operating Cost</t>
  </si>
  <si>
    <t xml:space="preserve"> Cost Summary - Personal Use Only</t>
  </si>
  <si>
    <t>Summary of All Pre-Tax Costs</t>
  </si>
  <si>
    <t xml:space="preserve">  Calculated Hours of Work</t>
  </si>
  <si>
    <t xml:space="preserve">   .</t>
  </si>
  <si>
    <r>
      <rPr>
        <sz val="18"/>
        <rFont val="Calibri"/>
        <family val="2"/>
      </rPr>
      <t>Hired Labor and Management Cost Calculator</t>
    </r>
    <r>
      <rPr>
        <sz val="10"/>
        <rFont val="Arial"/>
        <family val="2"/>
      </rPr>
      <t xml:space="preserve">
Texas Agrilife Extension and Oklahoma State University</t>
    </r>
    <r>
      <rPr>
        <sz val="16"/>
        <color indexed="8"/>
        <rFont val="Arial"/>
        <family val="2"/>
      </rPr>
      <t xml:space="preserve">
</t>
    </r>
    <r>
      <rPr>
        <sz val="10"/>
        <rFont val="Arial"/>
        <family val="2"/>
      </rPr>
      <t xml:space="preserve">
Developed by
James McGrann, Professor Emeritus, Texas A&amp;M University and Christy Waggoner, Former Programmer, Texas A&amp;M University
Update by
Damona Doye and Roger Sahs, Agricultural Economics, Oklahoma State University
</t>
    </r>
  </si>
  <si>
    <t>Years Of</t>
  </si>
  <si>
    <t xml:space="preserve"> Housing Cost Using Rental Equivalent</t>
  </si>
  <si>
    <t xml:space="preserve">   Rental Costs Equivalent Paid by Employer</t>
  </si>
  <si>
    <t xml:space="preserve"> Housing Cash Outflow With Mortgage Payments</t>
  </si>
  <si>
    <t xml:space="preserve"> Per Day</t>
  </si>
  <si>
    <t xml:space="preserve"> Total Vehicle Cost Summary</t>
  </si>
  <si>
    <t>Number of Acres or Head in Position :</t>
  </si>
  <si>
    <t>Housing costs?  (1=Yes, 2=No)</t>
  </si>
  <si>
    <t>Transportation costs? (1=Yes, 2=No)</t>
  </si>
  <si>
    <t>Units (1=acres, 2=head)</t>
  </si>
  <si>
    <t>For more information:</t>
  </si>
  <si>
    <t>IRS Publication 15, Circular E, Employer' Tax Guide</t>
  </si>
  <si>
    <t>Oklahoma Tax Commission</t>
  </si>
  <si>
    <t>B.  Payroll Tax and Benefits</t>
  </si>
  <si>
    <t xml:space="preserve">     Total Payroll Tax</t>
  </si>
  <si>
    <t xml:space="preserve"> Payroll Tax</t>
  </si>
  <si>
    <t xml:space="preserve"> Total Cash Cost of Payroll Tax and Benefits</t>
  </si>
  <si>
    <t xml:space="preserve"> Total Cash Cost of Payroll Tax</t>
  </si>
  <si>
    <t xml:space="preserve">   actual costs will be used)</t>
  </si>
  <si>
    <t>OSU CR-205, Oklahoma Pasture Rental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</si>
</sst>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7" formatCode="&quot;$&quot;#,##0.00_);\(&quot;$&quot;#,##0.00\)"/>
    <numFmt numFmtId="164" formatCode="dd\-mmm\-yy_)"/>
    <numFmt numFmtId="165" formatCode="0.00_)"/>
    <numFmt numFmtId="166" formatCode="0_)"/>
    <numFmt numFmtId="167" formatCode="0.0_)"/>
    <numFmt numFmtId="168" formatCode="&quot;$&quot;#,##0.000_);\(&quot;$&quot;#,##0.000\)"/>
    <numFmt numFmtId="169" formatCode="0.00_);\(0.00\)"/>
    <numFmt numFmtId="170" formatCode="0_);\(0\)"/>
  </numFmts>
  <fonts count="25">
    <font>
      <sz val="11"/>
      <color theme="1"/>
      <name val="Calibri"/>
      <family val="2"/>
      <scheme val="minor"/>
    </font>
    <font>
      <sz val="10"/>
      <name val="Arial"/>
      <family val="2"/>
    </font>
    <font>
      <b/>
      <sz val="14"/>
      <name val="Arial"/>
      <family val="2"/>
    </font>
    <font>
      <b/>
      <sz val="12"/>
      <name val="Arial"/>
      <family val="2"/>
    </font>
    <font>
      <b/>
      <i/>
      <sz val="12"/>
      <name val="Arial"/>
      <family val="2"/>
    </font>
    <font>
      <b/>
      <sz val="12"/>
      <color indexed="12"/>
      <name val="Arial"/>
      <family val="2"/>
    </font>
    <font>
      <sz val="12"/>
      <name val="Arial"/>
      <family val="2"/>
    </font>
    <font>
      <sz val="12"/>
      <color indexed="12"/>
      <name val="Arial"/>
      <family val="2"/>
    </font>
    <font>
      <sz val="18"/>
      <name val="Calibri"/>
      <family val="2"/>
    </font>
    <font>
      <sz val="16"/>
      <color indexed="8"/>
      <name val="Arial"/>
      <family val="2"/>
    </font>
    <font>
      <sz val="8"/>
      <name val="Tahoma"/>
      <family val="2"/>
    </font>
    <font>
      <b/>
      <sz val="9"/>
      <name val="Tahoma"/>
      <family val="2"/>
    </font>
    <font>
      <sz val="11"/>
      <color theme="1"/>
      <name val="Arial"/>
      <family val="2"/>
    </font>
    <font>
      <sz val="10"/>
      <color theme="1"/>
      <name val="Arial"/>
      <family val="2"/>
    </font>
    <font>
      <sz val="12"/>
      <color theme="1"/>
      <name val="Arial"/>
      <family val="2"/>
    </font>
    <font>
      <b/>
      <sz val="12"/>
      <color theme="1"/>
      <name val="Arial"/>
      <family val="2"/>
    </font>
    <font>
      <sz val="9"/>
      <name val="Tahoma"/>
      <family val="2"/>
    </font>
    <font>
      <u val="single"/>
      <sz val="11"/>
      <color theme="10"/>
      <name val="Calibri"/>
      <family val="2"/>
      <scheme val="minor"/>
    </font>
    <font>
      <sz val="11"/>
      <color theme="10"/>
      <name val="Arial"/>
      <family val="2"/>
    </font>
    <font>
      <b/>
      <sz val="11"/>
      <color theme="1"/>
      <name val="Arial"/>
      <family val="2"/>
    </font>
    <font>
      <sz val="14.75"/>
      <color rgb="FF000000"/>
      <name val="Arial"/>
      <family val="2"/>
    </font>
    <font>
      <sz val="9"/>
      <color rgb="FF000000"/>
      <name val="Arial"/>
      <family val="2"/>
    </font>
    <font>
      <sz val="12"/>
      <color rgb="FF000000"/>
      <name val="Arial"/>
      <family val="2"/>
    </font>
    <font>
      <sz val="11"/>
      <color rgb="FF000000"/>
      <name val="Calibri"/>
      <family val="2"/>
    </font>
    <font>
      <b/>
      <sz val="8"/>
      <name val="Calibri"/>
      <family val="2"/>
    </font>
  </fonts>
  <fills count="2">
    <fill>
      <patternFill/>
    </fill>
    <fill>
      <patternFill patternType="gray125"/>
    </fill>
  </fills>
  <borders count="13">
    <border>
      <left/>
      <right/>
      <top/>
      <bottom/>
      <diagonal/>
    </border>
    <border>
      <left/>
      <right/>
      <top/>
      <bottom style="thin"/>
    </border>
    <border>
      <left/>
      <right/>
      <top/>
      <bottom style="thin">
        <color indexed="8"/>
      </bottom>
    </border>
    <border>
      <left/>
      <right/>
      <top style="thin"/>
      <bottom/>
    </border>
    <border>
      <left style="hair"/>
      <right style="hair"/>
      <top style="hair"/>
      <bottom style="hair"/>
    </border>
    <border>
      <left style="hair"/>
      <right style="hair"/>
      <top style="hair"/>
      <bottom/>
    </border>
    <border>
      <left style="hair">
        <color indexed="8"/>
      </left>
      <right style="hair">
        <color indexed="8"/>
      </right>
      <top style="hair">
        <color indexed="8"/>
      </top>
      <bottom style="hair">
        <color indexed="8"/>
      </bottom>
    </border>
    <border>
      <left style="hair"/>
      <right/>
      <top style="hair"/>
      <bottom style="hair"/>
    </border>
    <border>
      <left style="thin"/>
      <right/>
      <top style="thin"/>
      <bottom/>
    </border>
    <border>
      <left/>
      <right style="thin"/>
      <top style="thin"/>
      <bottom/>
    </border>
    <border>
      <left style="thin"/>
      <right/>
      <top/>
      <bottom style="thin"/>
    </border>
    <border>
      <left/>
      <right style="thin"/>
      <top/>
      <bottom style="thin"/>
    </border>
    <border>
      <left/>
      <right style="hair"/>
      <top style="hair"/>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pplyAlignment="0" applyProtection="0"/>
  </cellStyleXfs>
  <cellXfs count="106">
    <xf numFmtId="0" fontId="0" fillId="0" borderId="0" xfId="0"/>
    <xf numFmtId="7" fontId="0" fillId="0" borderId="0" xfId="0" applyNumberFormat="1"/>
    <xf numFmtId="7" fontId="2" fillId="0" borderId="0" xfId="0" applyNumberFormat="1" applyFont="1" applyProtection="1">
      <protection/>
    </xf>
    <xf numFmtId="7" fontId="3" fillId="0" borderId="0" xfId="0" applyNumberFormat="1" applyFont="1" applyProtection="1">
      <protection/>
    </xf>
    <xf numFmtId="7" fontId="3" fillId="0" borderId="0" xfId="0" applyNumberFormat="1" applyFont="1" applyAlignment="1" applyProtection="1">
      <alignment horizontal="center"/>
      <protection/>
    </xf>
    <xf numFmtId="7" fontId="4" fillId="0" borderId="0" xfId="0" applyNumberFormat="1" applyFont="1"/>
    <xf numFmtId="7" fontId="3" fillId="0" borderId="0" xfId="0" applyNumberFormat="1" applyFont="1"/>
    <xf numFmtId="165" fontId="5" fillId="0" borderId="0" xfId="0" applyNumberFormat="1" applyFont="1" applyProtection="1">
      <protection locked="0"/>
    </xf>
    <xf numFmtId="7" fontId="6" fillId="0" borderId="0" xfId="0" applyNumberFormat="1" applyFont="1" applyProtection="1">
      <protection/>
    </xf>
    <xf numFmtId="7" fontId="7" fillId="0" borderId="0" xfId="0" applyNumberFormat="1" applyFont="1" applyProtection="1">
      <protection locked="0"/>
    </xf>
    <xf numFmtId="5" fontId="3" fillId="0" borderId="0" xfId="0" applyNumberFormat="1" applyFont="1" applyProtection="1">
      <protection/>
    </xf>
    <xf numFmtId="7" fontId="3" fillId="0" borderId="0" xfId="0" applyNumberFormat="1" applyFont="1" applyAlignment="1">
      <alignment horizontal="center"/>
    </xf>
    <xf numFmtId="5" fontId="3" fillId="0" borderId="1" xfId="0" applyNumberFormat="1" applyFont="1" applyBorder="1" applyProtection="1">
      <protection/>
    </xf>
    <xf numFmtId="7" fontId="6" fillId="0" borderId="0" xfId="0" applyNumberFormat="1" applyFont="1" applyAlignment="1">
      <alignment horizontal="left"/>
    </xf>
    <xf numFmtId="168" fontId="3" fillId="0" borderId="0" xfId="0" applyNumberFormat="1" applyFont="1" applyProtection="1">
      <protection/>
    </xf>
    <xf numFmtId="7" fontId="3" fillId="0" borderId="0" xfId="0" applyNumberFormat="1" applyFont="1" applyAlignment="1" applyProtection="1">
      <alignment horizontal="right"/>
      <protection/>
    </xf>
    <xf numFmtId="167" fontId="3" fillId="0" borderId="0" xfId="0" applyNumberFormat="1" applyFont="1" applyProtection="1">
      <protection/>
    </xf>
    <xf numFmtId="7" fontId="12" fillId="0" borderId="0" xfId="0" applyNumberFormat="1" applyFont="1"/>
    <xf numFmtId="7" fontId="12" fillId="0" borderId="0" xfId="0" applyNumberFormat="1" applyFont="1" applyProtection="1">
      <protection/>
    </xf>
    <xf numFmtId="165" fontId="12" fillId="0" borderId="0" xfId="0" applyNumberFormat="1" applyFont="1" applyProtection="1">
      <protection/>
    </xf>
    <xf numFmtId="7" fontId="13" fillId="0" borderId="0" xfId="0" applyNumberFormat="1" applyFont="1"/>
    <xf numFmtId="7" fontId="14" fillId="0" borderId="0" xfId="0" applyNumberFormat="1" applyFont="1" applyProtection="1">
      <protection/>
    </xf>
    <xf numFmtId="7" fontId="14" fillId="0" borderId="0" xfId="0" applyNumberFormat="1" applyFont="1" applyAlignment="1" applyProtection="1">
      <alignment horizontal="right"/>
      <protection/>
    </xf>
    <xf numFmtId="7" fontId="14" fillId="0" borderId="0" xfId="0" applyNumberFormat="1" applyFont="1"/>
    <xf numFmtId="7" fontId="14" fillId="0" borderId="0" xfId="0" applyNumberFormat="1" applyFont="1" applyAlignment="1">
      <alignment horizontal="center"/>
    </xf>
    <xf numFmtId="7" fontId="14" fillId="0" borderId="0" xfId="0" applyNumberFormat="1" applyFont="1" applyAlignment="1">
      <alignment horizontal="fill"/>
    </xf>
    <xf numFmtId="7" fontId="14" fillId="0" borderId="0" xfId="0" applyNumberFormat="1" applyFont="1" applyAlignment="1" applyProtection="1">
      <alignment horizontal="center"/>
      <protection/>
    </xf>
    <xf numFmtId="7" fontId="14" fillId="0" borderId="2" xfId="0" applyNumberFormat="1" applyFont="1" applyBorder="1" applyProtection="1">
      <protection/>
    </xf>
    <xf numFmtId="7" fontId="3" fillId="0" borderId="3" xfId="0" applyNumberFormat="1" applyFont="1" applyBorder="1" applyProtection="1">
      <protection/>
    </xf>
    <xf numFmtId="7" fontId="14" fillId="0" borderId="3" xfId="0" applyNumberFormat="1" applyFont="1" applyBorder="1" applyProtection="1">
      <protection/>
    </xf>
    <xf numFmtId="7" fontId="3" fillId="0" borderId="3" xfId="0" applyNumberFormat="1" applyFont="1" applyBorder="1" applyAlignment="1" applyProtection="1">
      <alignment horizontal="center"/>
      <protection/>
    </xf>
    <xf numFmtId="7" fontId="14" fillId="0" borderId="3" xfId="0" applyNumberFormat="1" applyFont="1" applyBorder="1"/>
    <xf numFmtId="5" fontId="7" fillId="0" borderId="0" xfId="0" applyNumberFormat="1" applyFont="1" applyProtection="1">
      <protection locked="0"/>
    </xf>
    <xf numFmtId="7" fontId="6" fillId="0" borderId="0" xfId="0" applyNumberFormat="1" applyFont="1"/>
    <xf numFmtId="5" fontId="14" fillId="0" borderId="0" xfId="0" applyNumberFormat="1" applyFont="1" applyProtection="1">
      <protection/>
    </xf>
    <xf numFmtId="5" fontId="14" fillId="0" borderId="1" xfId="0" applyNumberFormat="1" applyFont="1" applyBorder="1" applyProtection="1">
      <protection/>
    </xf>
    <xf numFmtId="5" fontId="14" fillId="0" borderId="0" xfId="0" applyNumberFormat="1" applyFont="1" applyAlignment="1" applyProtection="1">
      <alignment horizontal="center"/>
      <protection/>
    </xf>
    <xf numFmtId="7" fontId="14" fillId="0" borderId="3" xfId="0" applyNumberFormat="1" applyFont="1" applyBorder="1" applyAlignment="1">
      <alignment horizontal="fill"/>
    </xf>
    <xf numFmtId="7" fontId="15" fillId="0" borderId="0" xfId="0" applyNumberFormat="1" applyFont="1"/>
    <xf numFmtId="37" fontId="14" fillId="0" borderId="0" xfId="0" applyNumberFormat="1" applyFont="1"/>
    <xf numFmtId="168" fontId="14" fillId="0" borderId="0" xfId="0" applyNumberFormat="1" applyFont="1" applyProtection="1">
      <protection/>
    </xf>
    <xf numFmtId="168" fontId="14" fillId="0" borderId="2" xfId="0" applyNumberFormat="1" applyFont="1" applyBorder="1" applyProtection="1">
      <protection/>
    </xf>
    <xf numFmtId="7" fontId="14" fillId="0" borderId="0" xfId="0" applyNumberFormat="1" applyFont="1" applyAlignment="1" quotePrefix="1">
      <alignment/>
    </xf>
    <xf numFmtId="7" fontId="14" fillId="0" borderId="0" xfId="0" applyNumberFormat="1" applyFont="1" applyAlignment="1">
      <alignment horizontal="left"/>
    </xf>
    <xf numFmtId="37" fontId="14" fillId="0" borderId="0" xfId="0" applyNumberFormat="1" applyFont="1" applyProtection="1">
      <protection/>
    </xf>
    <xf numFmtId="7" fontId="15" fillId="0" borderId="0" xfId="0" applyNumberFormat="1" applyFont="1" applyAlignment="1">
      <alignment horizontal="center"/>
    </xf>
    <xf numFmtId="7" fontId="15" fillId="0" borderId="0" xfId="0" applyNumberFormat="1" applyFont="1" applyProtection="1">
      <protection/>
    </xf>
    <xf numFmtId="37" fontId="7" fillId="0" borderId="0" xfId="0" applyNumberFormat="1" applyFont="1" applyBorder="1" applyProtection="1">
      <protection locked="0"/>
    </xf>
    <xf numFmtId="7" fontId="14" fillId="0" borderId="3" xfId="0" applyNumberFormat="1" applyFont="1" applyBorder="1" applyAlignment="1">
      <alignment horizontal="center"/>
    </xf>
    <xf numFmtId="37" fontId="7" fillId="0" borderId="3" xfId="0" applyNumberFormat="1" applyFont="1" applyBorder="1" applyProtection="1">
      <protection locked="0"/>
    </xf>
    <xf numFmtId="7" fontId="14" fillId="0" borderId="0" xfId="0" applyNumberFormat="1" applyFont="1" applyBorder="1"/>
    <xf numFmtId="167" fontId="14" fillId="0" borderId="0" xfId="0" applyNumberFormat="1" applyFont="1" applyProtection="1">
      <protection/>
    </xf>
    <xf numFmtId="5" fontId="14" fillId="0" borderId="2" xfId="0" applyNumberFormat="1" applyFont="1" applyBorder="1" applyProtection="1">
      <protection/>
    </xf>
    <xf numFmtId="166" fontId="14" fillId="0" borderId="0" xfId="0" applyNumberFormat="1" applyFont="1" applyProtection="1">
      <protection/>
    </xf>
    <xf numFmtId="5" fontId="15" fillId="0" borderId="0" xfId="0" applyNumberFormat="1" applyFont="1" applyProtection="1">
      <protection/>
    </xf>
    <xf numFmtId="167" fontId="15" fillId="0" borderId="0" xfId="0" applyNumberFormat="1" applyFont="1" applyProtection="1">
      <protection/>
    </xf>
    <xf numFmtId="5" fontId="15" fillId="0" borderId="2" xfId="0" applyNumberFormat="1" applyFont="1" applyBorder="1" applyProtection="1">
      <protection/>
    </xf>
    <xf numFmtId="5" fontId="14" fillId="0" borderId="3" xfId="0" applyNumberFormat="1" applyFont="1" applyBorder="1" applyProtection="1">
      <protection/>
    </xf>
    <xf numFmtId="167" fontId="14" fillId="0" borderId="3" xfId="0" applyNumberFormat="1" applyFont="1" applyBorder="1" applyProtection="1">
      <protection/>
    </xf>
    <xf numFmtId="7" fontId="7" fillId="0" borderId="4" xfId="0" applyNumberFormat="1" applyFont="1" applyBorder="1" applyProtection="1">
      <protection locked="0"/>
    </xf>
    <xf numFmtId="1" fontId="7" fillId="0" borderId="4" xfId="0" applyNumberFormat="1" applyFont="1" applyBorder="1" applyProtection="1">
      <protection locked="0"/>
    </xf>
    <xf numFmtId="5" fontId="7" fillId="0" borderId="4" xfId="0" applyNumberFormat="1" applyFont="1" applyBorder="1" applyProtection="1">
      <protection locked="0"/>
    </xf>
    <xf numFmtId="169" fontId="7" fillId="0" borderId="4" xfId="0" applyNumberFormat="1" applyFont="1" applyBorder="1" applyProtection="1">
      <protection locked="0"/>
    </xf>
    <xf numFmtId="5" fontId="7" fillId="0" borderId="5" xfId="0" applyNumberFormat="1" applyFont="1" applyBorder="1" applyProtection="1">
      <protection locked="0"/>
    </xf>
    <xf numFmtId="167" fontId="7" fillId="0" borderId="4" xfId="0" applyNumberFormat="1" applyFont="1" applyBorder="1" applyProtection="1">
      <protection locked="0"/>
    </xf>
    <xf numFmtId="170" fontId="7" fillId="0" borderId="4" xfId="0" applyNumberFormat="1" applyFont="1" applyBorder="1" applyProtection="1">
      <protection locked="0"/>
    </xf>
    <xf numFmtId="37" fontId="7" fillId="0" borderId="4" xfId="0" applyNumberFormat="1" applyFont="1" applyBorder="1" applyProtection="1">
      <protection locked="0"/>
    </xf>
    <xf numFmtId="165" fontId="7" fillId="0" borderId="4" xfId="0" applyNumberFormat="1" applyFont="1" applyBorder="1" applyProtection="1">
      <protection locked="0"/>
    </xf>
    <xf numFmtId="7" fontId="14" fillId="0" borderId="0" xfId="0" applyNumberFormat="1" applyFont="1" applyBorder="1" applyAlignment="1">
      <alignment horizontal="fill"/>
    </xf>
    <xf numFmtId="7" fontId="7" fillId="0" borderId="6" xfId="0" applyNumberFormat="1" applyFont="1" applyBorder="1" applyAlignment="1" applyProtection="1">
      <alignment/>
      <protection locked="0"/>
    </xf>
    <xf numFmtId="166" fontId="7" fillId="0" borderId="4" xfId="0" applyNumberFormat="1" applyFont="1" applyBorder="1" applyProtection="1">
      <protection locked="0"/>
    </xf>
    <xf numFmtId="7" fontId="2" fillId="0" borderId="0" xfId="0" applyNumberFormat="1" applyFont="1" applyAlignment="1">
      <alignment horizontal="center"/>
    </xf>
    <xf numFmtId="7" fontId="7" fillId="0" borderId="7" xfId="0" applyNumberFormat="1" applyFont="1" applyBorder="1" applyAlignment="1" applyProtection="1">
      <alignment/>
      <protection locked="0"/>
    </xf>
    <xf numFmtId="7" fontId="2" fillId="0" borderId="0" xfId="0" applyNumberFormat="1" applyFont="1" applyAlignment="1">
      <alignment horizontal="center"/>
    </xf>
    <xf numFmtId="7" fontId="3" fillId="0" borderId="0" xfId="0" applyNumberFormat="1" applyFont="1" applyAlignment="1">
      <alignment horizontal="center"/>
    </xf>
    <xf numFmtId="170" fontId="7" fillId="0" borderId="4" xfId="0" applyNumberFormat="1" applyFont="1" applyBorder="1" applyAlignment="1" applyProtection="1">
      <alignment horizontal="center"/>
      <protection locked="0"/>
    </xf>
    <xf numFmtId="0" fontId="12" fillId="0" borderId="0" xfId="0" applyNumberFormat="1" applyFont="1"/>
    <xf numFmtId="7" fontId="7" fillId="0" borderId="0" xfId="0" applyNumberFormat="1" applyFont="1" applyBorder="1" applyProtection="1">
      <protection locked="0"/>
    </xf>
    <xf numFmtId="0" fontId="0" fillId="0" borderId="0" xfId="0" applyBorder="1" applyAlignment="1">
      <alignment/>
    </xf>
    <xf numFmtId="1" fontId="7" fillId="0" borderId="0" xfId="0" applyNumberFormat="1" applyFont="1" applyBorder="1" applyProtection="1">
      <protection locked="0"/>
    </xf>
    <xf numFmtId="164" fontId="14" fillId="0" borderId="0" xfId="0" applyNumberFormat="1" applyFont="1" applyAlignment="1" applyProtection="1">
      <alignment horizontal="center"/>
      <protection/>
    </xf>
    <xf numFmtId="7" fontId="15" fillId="0" borderId="0" xfId="0" applyNumberFormat="1" applyFont="1" applyAlignment="1">
      <alignment horizontal="right"/>
    </xf>
    <xf numFmtId="7" fontId="3" fillId="0" borderId="3" xfId="0" applyNumberFormat="1" applyFont="1" applyBorder="1"/>
    <xf numFmtId="7" fontId="6" fillId="0" borderId="3" xfId="0" applyNumberFormat="1" applyFont="1" applyBorder="1"/>
    <xf numFmtId="5" fontId="15" fillId="0" borderId="3" xfId="0" applyNumberFormat="1" applyFont="1" applyBorder="1" applyProtection="1">
      <protection/>
    </xf>
    <xf numFmtId="5" fontId="3" fillId="0" borderId="3" xfId="0" applyNumberFormat="1" applyFont="1" applyBorder="1" applyProtection="1">
      <protection/>
    </xf>
    <xf numFmtId="7" fontId="18" fillId="0" borderId="0" xfId="20" applyNumberFormat="1" applyFont="1"/>
    <xf numFmtId="7" fontId="19" fillId="0" borderId="0" xfId="0" applyNumberFormat="1" applyFont="1"/>
    <xf numFmtId="0" fontId="1" fillId="0" borderId="8" xfId="0" applyFont="1" applyFill="1" applyBorder="1" applyAlignment="1">
      <alignment horizontal="center" wrapText="1"/>
    </xf>
    <xf numFmtId="0" fontId="12" fillId="0" borderId="3" xfId="0" applyFont="1" applyBorder="1" applyAlignment="1">
      <alignment horizontal="center" wrapText="1"/>
    </xf>
    <xf numFmtId="0" fontId="12" fillId="0" borderId="9" xfId="0" applyFont="1" applyBorder="1" applyAlignment="1">
      <alignment horizontal="center" wrapText="1"/>
    </xf>
    <xf numFmtId="0" fontId="12" fillId="0" borderId="10" xfId="0" applyFont="1" applyBorder="1" applyAlignment="1">
      <alignment horizontal="center" wrapText="1"/>
    </xf>
    <xf numFmtId="0" fontId="12" fillId="0" borderId="1" xfId="0" applyFont="1" applyBorder="1" applyAlignment="1">
      <alignment horizontal="center" wrapText="1"/>
    </xf>
    <xf numFmtId="0" fontId="12" fillId="0" borderId="11" xfId="0" applyFont="1" applyBorder="1" applyAlignment="1">
      <alignment horizontal="center" wrapText="1"/>
    </xf>
    <xf numFmtId="7" fontId="7" fillId="0" borderId="7" xfId="0" applyNumberFormat="1" applyFont="1" applyBorder="1" applyAlignment="1" applyProtection="1">
      <alignment/>
      <protection locked="0"/>
    </xf>
    <xf numFmtId="0" fontId="0" fillId="0" borderId="12" xfId="0" applyBorder="1" applyAlignment="1">
      <alignment/>
    </xf>
    <xf numFmtId="7" fontId="18" fillId="0" borderId="0" xfId="20" applyNumberFormat="1" applyFont="1" applyAlignment="1" applyProtection="1">
      <alignment/>
      <protection/>
    </xf>
    <xf numFmtId="0" fontId="12" fillId="0" borderId="0" xfId="0" applyFont="1" applyAlignment="1" applyProtection="1">
      <alignment/>
      <protection/>
    </xf>
    <xf numFmtId="7" fontId="2" fillId="0" borderId="0" xfId="0" applyNumberFormat="1" applyFont="1" applyAlignment="1">
      <alignment horizontal="center"/>
    </xf>
    <xf numFmtId="7" fontId="3" fillId="0" borderId="0" xfId="0" applyNumberFormat="1" applyFont="1" applyAlignment="1">
      <alignment horizontal="center"/>
    </xf>
    <xf numFmtId="7" fontId="14" fillId="0" borderId="0" xfId="0" applyNumberFormat="1" applyFont="1" applyAlignment="1">
      <alignment horizontal="fill"/>
    </xf>
    <xf numFmtId="7" fontId="2" fillId="0" borderId="0" xfId="0" applyNumberFormat="1" applyFont="1" applyAlignment="1" applyProtection="1">
      <alignment horizontal="center"/>
      <protection/>
    </xf>
    <xf numFmtId="7" fontId="14" fillId="0" borderId="0" xfId="0" applyNumberFormat="1" applyFont="1" applyAlignment="1" applyProtection="1">
      <alignment horizontal="left"/>
      <protection/>
    </xf>
    <xf numFmtId="7" fontId="18" fillId="0" borderId="0" xfId="20" applyNumberFormat="1" applyFont="1" applyAlignment="1" applyProtection="1">
      <alignment horizontal="left"/>
      <protection/>
    </xf>
    <xf numFmtId="7" fontId="3" fillId="0" borderId="0" xfId="0" applyNumberFormat="1" applyFont="1" applyAlignment="1" quotePrefix="1">
      <alignment horizontal="center"/>
    </xf>
    <xf numFmtId="7" fontId="14" fillId="0" borderId="0" xfId="0" applyNumberFormat="1" applyFont="1" applyAlignment="1">
      <alignmen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21.xml.rels><?xml version="1.0" encoding="utf-8" standalone="yes"?><Relationships xmlns="http://schemas.openxmlformats.org/package/2006/relationships"><Relationship Id="rId1" Type="http://schemas.microsoft.com/office/2006/relationships/activeXControlBinary" Target="activeX21.bin" /></Relationships>
</file>

<file path=xl/activeX/_rels/activeX22.xml.rels><?xml version="1.0" encoding="utf-8" standalone="yes"?><Relationships xmlns="http://schemas.openxmlformats.org/package/2006/relationships"><Relationship Id="rId1" Type="http://schemas.microsoft.com/office/2006/relationships/activeXControlBinary" Target="activeX22.bin" /></Relationships>
</file>

<file path=xl/activeX/_rels/activeX23.xml.rels><?xml version="1.0" encoding="utf-8" standalone="yes"?><Relationships xmlns="http://schemas.openxmlformats.org/package/2006/relationships"><Relationship Id="rId1" Type="http://schemas.microsoft.com/office/2006/relationships/activeXControlBinary" Target="activeX23.bin" /></Relationships>
</file>

<file path=xl/activeX/_rels/activeX24.xml.rels><?xml version="1.0" encoding="utf-8" standalone="yes"?><Relationships xmlns="http://schemas.openxmlformats.org/package/2006/relationships"><Relationship Id="rId1" Type="http://schemas.microsoft.com/office/2006/relationships/activeXControlBinary" Target="activeX24.bin" /></Relationships>
</file>

<file path=xl/activeX/_rels/activeX25.xml.rels><?xml version="1.0" encoding="utf-8" standalone="yes"?><Relationships xmlns="http://schemas.openxmlformats.org/package/2006/relationships"><Relationship Id="rId1" Type="http://schemas.microsoft.com/office/2006/relationships/activeXControlBinary" Target="activeX25.bin" /></Relationships>
</file>

<file path=xl/activeX/_rels/activeX26.xml.rels><?xml version="1.0" encoding="utf-8" standalone="yes"?><Relationships xmlns="http://schemas.openxmlformats.org/package/2006/relationships"><Relationship Id="rId1" Type="http://schemas.microsoft.com/office/2006/relationships/activeXControlBinary" Target="activeX26.bin" /></Relationships>
</file>

<file path=xl/activeX/_rels/activeX27.xml.rels><?xml version="1.0" encoding="utf-8" standalone="yes"?><Relationships xmlns="http://schemas.openxmlformats.org/package/2006/relationships"><Relationship Id="rId1" Type="http://schemas.microsoft.com/office/2006/relationships/activeXControlBinary" Target="activeX27.bin" /></Relationships>
</file>

<file path=xl/activeX/_rels/activeX28.xml.rels><?xml version="1.0" encoding="utf-8" standalone="yes"?><Relationships xmlns="http://schemas.openxmlformats.org/package/2006/relationships"><Relationship Id="rId1" Type="http://schemas.microsoft.com/office/2006/relationships/activeXControlBinary" Target="activeX28.bin" /></Relationships>
</file>

<file path=xl/activeX/_rels/activeX29.xml.rels><?xml version="1.0" encoding="utf-8" standalone="yes"?><Relationships xmlns="http://schemas.openxmlformats.org/package/2006/relationships"><Relationship Id="rId1" Type="http://schemas.microsoft.com/office/2006/relationships/activeXControlBinary" Target="activeX29.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30.xml.rels><?xml version="1.0" encoding="utf-8" standalone="yes"?><Relationships xmlns="http://schemas.openxmlformats.org/package/2006/relationships"><Relationship Id="rId1" Type="http://schemas.microsoft.com/office/2006/relationships/activeXControlBinary" Target="activeX30.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D7053240-CE69-11CD-A777-00DD01143C57}" ax:persistence="persistStreamInit" r:id="rId1"/>
</file>

<file path=xl/activeX/activeX18.xml><?xml version="1.0" encoding="utf-8"?>
<ax:ocx xmlns:ax="http://schemas.microsoft.com/office/2006/activeX" xmlns:r="http://schemas.openxmlformats.org/officeDocument/2006/relationships" ax:classid="{D7053240-CE69-11CD-A777-00DD01143C57}" ax:persistence="persistStreamInit" r:id="rId1"/>
</file>

<file path=xl/activeX/activeX19.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20.xml><?xml version="1.0" encoding="utf-8"?>
<ax:ocx xmlns:ax="http://schemas.microsoft.com/office/2006/activeX" xmlns:r="http://schemas.openxmlformats.org/officeDocument/2006/relationships" ax:classid="{D7053240-CE69-11CD-A777-00DD01143C57}" ax:persistence="persistStreamInit" r:id="rId1"/>
</file>

<file path=xl/activeX/activeX21.xml><?xml version="1.0" encoding="utf-8"?>
<ax:ocx xmlns:ax="http://schemas.microsoft.com/office/2006/activeX" xmlns:r="http://schemas.openxmlformats.org/officeDocument/2006/relationships" ax:classid="{D7053240-CE69-11CD-A777-00DD01143C57}" ax:persistence="persistStreamInit" r:id="rId1"/>
</file>

<file path=xl/activeX/activeX22.xml><?xml version="1.0" encoding="utf-8"?>
<ax:ocx xmlns:ax="http://schemas.microsoft.com/office/2006/activeX" xmlns:r="http://schemas.openxmlformats.org/officeDocument/2006/relationships" ax:classid="{D7053240-CE69-11CD-A777-00DD01143C57}" ax:persistence="persistStreamInit" r:id="rId1"/>
</file>

<file path=xl/activeX/activeX23.xml><?xml version="1.0" encoding="utf-8"?>
<ax:ocx xmlns:ax="http://schemas.microsoft.com/office/2006/activeX" xmlns:r="http://schemas.openxmlformats.org/officeDocument/2006/relationships" ax:classid="{D7053240-CE69-11CD-A777-00DD01143C57}" ax:persistence="persistStreamInit" r:id="rId1"/>
</file>

<file path=xl/activeX/activeX24.xml><?xml version="1.0" encoding="utf-8"?>
<ax:ocx xmlns:ax="http://schemas.microsoft.com/office/2006/activeX" xmlns:r="http://schemas.openxmlformats.org/officeDocument/2006/relationships" ax:classid="{D7053240-CE69-11CD-A777-00DD01143C57}" ax:persistence="persistStreamInit" r:id="rId1"/>
</file>

<file path=xl/activeX/activeX25.xml><?xml version="1.0" encoding="utf-8"?>
<ax:ocx xmlns:ax="http://schemas.microsoft.com/office/2006/activeX" xmlns:r="http://schemas.openxmlformats.org/officeDocument/2006/relationships" ax:classid="{D7053240-CE69-11CD-A777-00DD01143C57}" ax:persistence="persistStreamInit" r:id="rId1"/>
</file>

<file path=xl/activeX/activeX26.xml><?xml version="1.0" encoding="utf-8"?>
<ax:ocx xmlns:ax="http://schemas.microsoft.com/office/2006/activeX" xmlns:r="http://schemas.openxmlformats.org/officeDocument/2006/relationships" ax:classid="{D7053240-CE69-11CD-A777-00DD01143C57}" ax:persistence="persistStreamInit" r:id="rId1"/>
</file>

<file path=xl/activeX/activeX27.xml><?xml version="1.0" encoding="utf-8"?>
<ax:ocx xmlns:ax="http://schemas.microsoft.com/office/2006/activeX" xmlns:r="http://schemas.openxmlformats.org/officeDocument/2006/relationships" ax:classid="{D7053240-CE69-11CD-A777-00DD01143C57}" ax:persistence="persistStreamInit" r:id="rId1"/>
</file>

<file path=xl/activeX/activeX28.xml><?xml version="1.0" encoding="utf-8"?>
<ax:ocx xmlns:ax="http://schemas.microsoft.com/office/2006/activeX" xmlns:r="http://schemas.openxmlformats.org/officeDocument/2006/relationships" ax:classid="{D7053240-CE69-11CD-A777-00DD01143C57}" ax:persistence="persistStreamInit" r:id="rId1"/>
</file>

<file path=xl/activeX/activeX29.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30.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775" b="1" i="0" u="none" baseline="0">
                <a:solidFill>
                  <a:srgbClr val="000000"/>
                </a:solidFill>
                <a:latin typeface="Arial"/>
                <a:ea typeface="Arial"/>
                <a:cs typeface="Arial"/>
              </a:rPr>
              <a:t>Components as Percent of Total Cost</a:t>
            </a:r>
          </a:p>
        </c:rich>
      </c:tx>
      <c:layout>
        <c:manualLayout>
          <c:xMode val="edge"/>
          <c:yMode val="edge"/>
          <c:x val="0.204"/>
          <c:y val="0.015"/>
        </c:manualLayout>
      </c:layout>
      <c:overlay val="0"/>
      <c:spPr>
        <a:noFill/>
        <a:ln w="25400">
          <a:noFill/>
        </a:ln>
      </c:spPr>
    </c:title>
    <c:view3D>
      <c:rotX val="5"/>
      <c:hPercent val="51"/>
      <c:rotY val="5"/>
      <c:depthPercent val="100"/>
      <c:rAngAx val="1"/>
    </c:view3D>
    <c:plotArea>
      <c:layout>
        <c:manualLayout>
          <c:layoutTarget val="inner"/>
          <c:xMode val="edge"/>
          <c:yMode val="edge"/>
          <c:x val="0.088"/>
          <c:y val="0.19"/>
          <c:w val="0.90575"/>
          <c:h val="0.67"/>
        </c:manualLayout>
      </c:layout>
      <c:bar3D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SalaryBenefits!$AC$11:$AG$11</c:f>
              <c:strCache/>
            </c:strRef>
          </c:cat>
          <c:val>
            <c:numRef>
              <c:f>SalaryBenefits!$AC$13:$AG$13</c:f>
              <c:numCache/>
            </c:numRef>
          </c:val>
          <c:shape val="box"/>
        </c:ser>
        <c:shape val="box"/>
        <c:axId val="10912489"/>
        <c:axId val="31103538"/>
      </c:bar3DChart>
      <c:catAx>
        <c:axId val="10912489"/>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Component</a:t>
                </a:r>
              </a:p>
            </c:rich>
          </c:tx>
          <c:layout>
            <c:manualLayout>
              <c:xMode val="edge"/>
              <c:yMode val="edge"/>
              <c:x val="0.47725"/>
              <c:y val="0.9325"/>
            </c:manualLayout>
          </c:layout>
          <c:overlay val="0"/>
          <c:spPr>
            <a:noFill/>
            <a:ln w="25400">
              <a:noFill/>
            </a:ln>
          </c:spPr>
        </c:title>
        <c:delete val="0"/>
        <c:numFmt formatCode="General" sourceLinked="1"/>
        <c:majorTickMark val="out"/>
        <c:minorTickMark val="none"/>
        <c:tickLblPos val="low"/>
        <c:spPr>
          <a:ln w="3175">
            <a:solidFill>
              <a:srgbClr val="000000"/>
            </a:solidFill>
            <a:prstDash val="solid"/>
          </a:ln>
        </c:spPr>
        <c:txPr>
          <a:bodyPr/>
          <a:lstStyle/>
          <a:p>
            <a:pPr>
              <a:defRPr lang="en-US" cap="none" sz="900" b="0" i="0" u="none" baseline="0">
                <a:solidFill>
                  <a:srgbClr val="000000"/>
                </a:solidFill>
                <a:latin typeface="Arial"/>
                <a:ea typeface="Arial"/>
                <a:cs typeface="Arial"/>
              </a:defRPr>
            </a:pPr>
          </a:p>
        </c:txPr>
        <c:crossAx val="31103538"/>
        <c:crosses val="autoZero"/>
        <c:auto val="1"/>
        <c:lblOffset val="100"/>
        <c:tickLblSkip val="1"/>
        <c:noMultiLvlLbl val="0"/>
      </c:catAx>
      <c:valAx>
        <c:axId val="31103538"/>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t>
                </a:r>
              </a:p>
            </c:rich>
          </c:tx>
          <c:layout>
            <c:manualLayout>
              <c:xMode val="edge"/>
              <c:yMode val="edge"/>
              <c:x val="0.02675"/>
              <c:y val="0.47"/>
            </c:manualLayout>
          </c:layout>
          <c:overlay val="0"/>
          <c:spPr>
            <a:noFill/>
            <a:ln w="25400">
              <a:noFill/>
            </a:ln>
          </c:spPr>
        </c:title>
        <c:majorGridlines>
          <c:spPr>
            <a:ln w="3175">
              <a:solidFill>
                <a:srgbClr val="000000"/>
              </a:solidFill>
              <a:prstDash val="solid"/>
            </a:ln>
          </c:spPr>
        </c:majorGridlines>
        <c:delete val="0"/>
        <c:numFmt formatCode="0_)" sourceLinked="0"/>
        <c:majorTickMark val="out"/>
        <c:minorTickMark val="none"/>
        <c:tickLblPos val="nextTo"/>
        <c:spPr>
          <a:ln w="3175">
            <a:solidFill>
              <a:srgbClr val="000000"/>
            </a:solidFill>
            <a:prstDash val="solid"/>
          </a:ln>
        </c:spPr>
        <c:txPr>
          <a:bodyPr/>
          <a:lstStyle/>
          <a:p>
            <a:pPr>
              <a:defRPr lang="en-US" cap="none" sz="900" b="0" i="0" u="none" baseline="0">
                <a:solidFill>
                  <a:srgbClr val="000000"/>
                </a:solidFill>
                <a:latin typeface="Arial"/>
                <a:ea typeface="Arial"/>
                <a:cs typeface="Arial"/>
              </a:defRPr>
            </a:pPr>
          </a:p>
        </c:txPr>
        <c:crossAx val="10912489"/>
        <c:crosses val="autoZero"/>
        <c:crossBetween val="between"/>
        <c:dispUnits/>
      </c:valAx>
      <c:spPr>
        <a:noFill/>
        <a:ln w="25400">
          <a:noFill/>
        </a:ln>
      </c:spPr>
    </c:plotArea>
    <c:floor>
      <c:spPr>
        <a:solidFill>
          <a:srgbClr val="C0C0C0"/>
        </a:solidFill>
        <a:ln w="3175">
          <a:solidFill>
            <a:srgbClr val="000000"/>
          </a:solidFill>
          <a:prstDash val="solid"/>
        </a:ln>
      </c:spPr>
      <c:thickness val="0"/>
    </c:floor>
    <c:sideWall>
      <c:spPr>
        <a:noFill/>
        <a:ln w="12700">
          <a:solidFill>
            <a:srgbClr val="808080"/>
          </a:solidFill>
          <a:prstDash val="solid"/>
        </a:ln>
      </c:spPr>
      <c:thickness val="0"/>
    </c:sideWall>
    <c:backWall>
      <c:spPr>
        <a:noFill/>
        <a:ln w="12700">
          <a:solidFill>
            <a:srgbClr val="808080"/>
          </a:solidFill>
          <a:prstDash val="solid"/>
        </a:ln>
      </c:spPr>
      <c:thickness val="0"/>
    </c:backWall>
    <c:plotVisOnly val="1"/>
    <c:dispBlanksAs val="gap"/>
    <c:showDLblsOverMax val="0"/>
  </c:chart>
  <c:spPr>
    <a:solidFill>
      <a:srgbClr val="FFFFFF"/>
    </a:solidFill>
    <a:ln w="9525">
      <a:noFill/>
    </a:ln>
  </c:spPr>
  <c:txPr>
    <a:bodyPr vert="horz" rot="0"/>
    <a:lstStyle/>
    <a:p>
      <a:pPr>
        <a:defRPr lang="en-US" cap="none" sz="147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orientation="landscape" horizontalDpi="-3" verticalDpi="3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775" b="1" i="0" u="none" baseline="0">
                <a:solidFill>
                  <a:srgbClr val="000000"/>
                </a:solidFill>
                <a:latin typeface="Arial"/>
                <a:ea typeface="Arial"/>
                <a:cs typeface="Arial"/>
              </a:rPr>
              <a:t>Hourly Cost of Labor or Management</a:t>
            </a:r>
          </a:p>
        </c:rich>
      </c:tx>
      <c:layout>
        <c:manualLayout>
          <c:xMode val="edge"/>
          <c:yMode val="edge"/>
          <c:x val="0.2115"/>
          <c:y val="0.01175"/>
        </c:manualLayout>
      </c:layout>
      <c:overlay val="0"/>
      <c:spPr>
        <a:noFill/>
        <a:ln w="25400">
          <a:noFill/>
        </a:ln>
      </c:spPr>
    </c:title>
    <c:view3D>
      <c:rotX val="5"/>
      <c:hPercent val="58"/>
      <c:rotY val="5"/>
      <c:depthPercent val="100"/>
      <c:rAngAx val="1"/>
    </c:view3D>
    <c:plotArea>
      <c:layout>
        <c:manualLayout>
          <c:layoutTarget val="inner"/>
          <c:xMode val="edge"/>
          <c:yMode val="edge"/>
          <c:x val="0.157"/>
          <c:y val="0.1925"/>
          <c:w val="0.8345"/>
          <c:h val="0.6995"/>
        </c:manualLayout>
      </c:layout>
      <c:bar3D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Summary!$B$47:$B$49</c:f>
              <c:strCache/>
            </c:strRef>
          </c:cat>
          <c:val>
            <c:numRef>
              <c:f>Summary!$G$47:$G$49</c:f>
              <c:numCache/>
            </c:numRef>
          </c:val>
          <c:shape val="box"/>
        </c:ser>
        <c:shape val="box"/>
        <c:axId val="11496387"/>
        <c:axId val="36358620"/>
      </c:bar3DChart>
      <c:catAx>
        <c:axId val="11496387"/>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900" b="0" i="0" u="none" baseline="0">
                <a:solidFill>
                  <a:srgbClr val="000000"/>
                </a:solidFill>
                <a:latin typeface="Arial"/>
                <a:ea typeface="Arial"/>
                <a:cs typeface="Arial"/>
              </a:defRPr>
            </a:pPr>
          </a:p>
        </c:txPr>
        <c:crossAx val="36358620"/>
        <c:crosses val="autoZero"/>
        <c:auto val="1"/>
        <c:lblOffset val="100"/>
        <c:tickLblSkip val="1"/>
        <c:noMultiLvlLbl val="0"/>
      </c:catAx>
      <c:valAx>
        <c:axId val="363586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Dollars per Hour</a:t>
                </a:r>
              </a:p>
            </c:rich>
          </c:tx>
          <c:layout>
            <c:manualLayout>
              <c:xMode val="edge"/>
              <c:yMode val="edge"/>
              <c:x val="0.0085"/>
              <c:y val="0.45775"/>
            </c:manualLayout>
          </c:layout>
          <c:overlay val="0"/>
          <c:spPr>
            <a:noFill/>
            <a:ln w="25400">
              <a:noFill/>
            </a:ln>
          </c:spPr>
        </c:title>
        <c:majorGridlines>
          <c:spPr>
            <a:ln w="3175">
              <a:solidFill>
                <a:srgbClr val="000000"/>
              </a:solidFill>
              <a:prstDash val="solid"/>
            </a:ln>
          </c:spPr>
        </c:majorGridlines>
        <c:delete val="0"/>
        <c:numFmt formatCode="&quot;$&quot;#,##0.00_);\(&quot;$&quot;#,##0.00\)" sourceLinked="1"/>
        <c:majorTickMark val="out"/>
        <c:minorTickMark val="none"/>
        <c:tickLblPos val="nextTo"/>
        <c:spPr>
          <a:ln w="3175">
            <a:solidFill>
              <a:srgbClr val="000000"/>
            </a:solidFill>
            <a:prstDash val="solid"/>
          </a:ln>
        </c:spPr>
        <c:txPr>
          <a:bodyPr/>
          <a:lstStyle/>
          <a:p>
            <a:pPr>
              <a:defRPr lang="en-US" cap="none" sz="900" b="0" i="0" u="none" baseline="0">
                <a:solidFill>
                  <a:srgbClr val="000000"/>
                </a:solidFill>
                <a:latin typeface="Arial"/>
                <a:ea typeface="Arial"/>
                <a:cs typeface="Arial"/>
              </a:defRPr>
            </a:pPr>
          </a:p>
        </c:txPr>
        <c:crossAx val="11496387"/>
        <c:crosses val="autoZero"/>
        <c:crossBetween val="between"/>
        <c:dispUnits/>
      </c:valAx>
      <c:spPr>
        <a:noFill/>
        <a:ln w="25400">
          <a:noFill/>
        </a:ln>
      </c:spPr>
    </c:plotArea>
    <c:floor>
      <c:spPr>
        <a:solidFill>
          <a:srgbClr val="C0C0C0"/>
        </a:solidFill>
        <a:ln w="3175">
          <a:solidFill>
            <a:srgbClr val="000000"/>
          </a:solidFill>
          <a:prstDash val="solid"/>
        </a:ln>
      </c:spPr>
      <c:thickness val="0"/>
    </c:floor>
    <c:sideWall>
      <c:spPr>
        <a:noFill/>
        <a:ln w="12700">
          <a:solidFill>
            <a:srgbClr val="808080"/>
          </a:solidFill>
          <a:prstDash val="solid"/>
        </a:ln>
      </c:spPr>
      <c:thickness val="0"/>
    </c:sideWall>
    <c:backWall>
      <c:spPr>
        <a:noFill/>
        <a:ln w="12700">
          <a:solidFill>
            <a:srgbClr val="808080"/>
          </a:solidFill>
          <a:prstDash val="solid"/>
        </a:ln>
      </c:spPr>
      <c:thickness val="0"/>
    </c:backWall>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56.jpeg" /><Relationship Id="rId2" Type="http://schemas.openxmlformats.org/officeDocument/2006/relationships/image" Target="../media/image57.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56.jpeg" /><Relationship Id="rId7" Type="http://schemas.openxmlformats.org/officeDocument/2006/relationships/image" Target="../media/image57.jpeg" /><Relationship Id="rId8" Type="http://schemas.openxmlformats.org/officeDocument/2006/relationships/image" Target="../media/image58.emf" /><Relationship Id="rId9" Type="http://schemas.openxmlformats.org/officeDocument/2006/relationships/image" Target="../media/image59.emf" /><Relationship Id="rId10" Type="http://schemas.openxmlformats.org/officeDocument/2006/relationships/image" Target="../media/image60.emf" /><Relationship Id="rId11" Type="http://schemas.openxmlformats.org/officeDocument/2006/relationships/image" Target="../media/image61.emf" /><Relationship Id="rId12" Type="http://schemas.openxmlformats.org/officeDocument/2006/relationships/image" Target="../media/image6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51.emf" /><Relationship Id="rId7" Type="http://schemas.openxmlformats.org/officeDocument/2006/relationships/image" Target="../media/image52.emf" /><Relationship Id="rId8" Type="http://schemas.openxmlformats.org/officeDocument/2006/relationships/image" Target="../media/image53.emf" /><Relationship Id="rId9" Type="http://schemas.openxmlformats.org/officeDocument/2006/relationships/image" Target="../media/image54.emf" /><Relationship Id="rId10" Type="http://schemas.openxmlformats.org/officeDocument/2006/relationships/image" Target="../media/image5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6.emf" /><Relationship Id="rId5" Type="http://schemas.openxmlformats.org/officeDocument/2006/relationships/image" Target="../media/image17.emf" /><Relationship Id="rId6" Type="http://schemas.openxmlformats.org/officeDocument/2006/relationships/image" Target="../media/image46.emf" /><Relationship Id="rId7" Type="http://schemas.openxmlformats.org/officeDocument/2006/relationships/image" Target="../media/image47.emf" /><Relationship Id="rId8" Type="http://schemas.openxmlformats.org/officeDocument/2006/relationships/image" Target="../media/image48.emf" /><Relationship Id="rId9" Type="http://schemas.openxmlformats.org/officeDocument/2006/relationships/image" Target="../media/image49.emf" /><Relationship Id="rId10" Type="http://schemas.openxmlformats.org/officeDocument/2006/relationships/image" Target="../media/image50.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 Id="rId3" Type="http://schemas.openxmlformats.org/officeDocument/2006/relationships/image" Target="../media/image20.emf" /><Relationship Id="rId4" Type="http://schemas.openxmlformats.org/officeDocument/2006/relationships/image" Target="../media/image21.emf" /><Relationship Id="rId5" Type="http://schemas.openxmlformats.org/officeDocument/2006/relationships/image" Target="../media/image22.emf" /><Relationship Id="rId6" Type="http://schemas.openxmlformats.org/officeDocument/2006/relationships/image" Target="../media/image41.emf" /><Relationship Id="rId7" Type="http://schemas.openxmlformats.org/officeDocument/2006/relationships/image" Target="../media/image42.emf" /><Relationship Id="rId8" Type="http://schemas.openxmlformats.org/officeDocument/2006/relationships/image" Target="../media/image43.emf" /><Relationship Id="rId9" Type="http://schemas.openxmlformats.org/officeDocument/2006/relationships/image" Target="../media/image44.emf" /><Relationship Id="rId10" Type="http://schemas.openxmlformats.org/officeDocument/2006/relationships/image" Target="../media/image4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4.emf" /><Relationship Id="rId3" Type="http://schemas.openxmlformats.org/officeDocument/2006/relationships/image" Target="../media/image25.emf" /><Relationship Id="rId4" Type="http://schemas.openxmlformats.org/officeDocument/2006/relationships/image" Target="../media/image26.emf" /><Relationship Id="rId5" Type="http://schemas.openxmlformats.org/officeDocument/2006/relationships/image" Target="../media/image27.emf" /><Relationship Id="rId6" Type="http://schemas.openxmlformats.org/officeDocument/2006/relationships/image" Target="../media/image36.emf" /><Relationship Id="rId7" Type="http://schemas.openxmlformats.org/officeDocument/2006/relationships/image" Target="../media/image37.emf" /><Relationship Id="rId8" Type="http://schemas.openxmlformats.org/officeDocument/2006/relationships/image" Target="../media/image38.emf" /><Relationship Id="rId9" Type="http://schemas.openxmlformats.org/officeDocument/2006/relationships/image" Target="../media/image39.emf" /><Relationship Id="rId10" Type="http://schemas.openxmlformats.org/officeDocument/2006/relationships/image" Target="../media/image40.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9.emf" /><Relationship Id="rId3" Type="http://schemas.openxmlformats.org/officeDocument/2006/relationships/image" Target="../media/image30.emf" /><Relationship Id="rId4" Type="http://schemas.openxmlformats.org/officeDocument/2006/relationships/image" Target="../media/image31.emf" /><Relationship Id="rId5" Type="http://schemas.openxmlformats.org/officeDocument/2006/relationships/image" Target="../media/image32.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33.emf" /><Relationship Id="rId9" Type="http://schemas.openxmlformats.org/officeDocument/2006/relationships/image" Target="../media/image34.emf" /><Relationship Id="rId10" Type="http://schemas.openxmlformats.org/officeDocument/2006/relationships/image" Target="../media/image3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1</xdr:row>
      <xdr:rowOff>247650</xdr:rowOff>
    </xdr:from>
    <xdr:to>
      <xdr:col>7</xdr:col>
      <xdr:colOff>619125</xdr:colOff>
      <xdr:row>2</xdr:row>
      <xdr:rowOff>104775</xdr:rowOff>
    </xdr:to>
    <xdr:pic>
      <xdr:nvPicPr>
        <xdr:cNvPr id="1080" name="Picture 8" descr="Extensionlogo5.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24650" y="428625"/>
          <a:ext cx="10572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1</xdr:row>
      <xdr:rowOff>209550</xdr:rowOff>
    </xdr:from>
    <xdr:to>
      <xdr:col>1</xdr:col>
      <xdr:colOff>1762125</xdr:colOff>
      <xdr:row>1</xdr:row>
      <xdr:rowOff>876300</xdr:rowOff>
    </xdr:to>
    <xdr:pic>
      <xdr:nvPicPr>
        <xdr:cNvPr id="1081" name="Picture 4" descr="AgriLife EXTENSION logo (2-color).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09575" y="390525"/>
          <a:ext cx="1600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55</xdr:row>
      <xdr:rowOff>104775</xdr:rowOff>
    </xdr:from>
    <xdr:to>
      <xdr:col>7</xdr:col>
      <xdr:colOff>38100</xdr:colOff>
      <xdr:row>59</xdr:row>
      <xdr:rowOff>123825</xdr:rowOff>
    </xdr:to>
    <xdr:sp macro="" textlink="">
      <xdr:nvSpPr>
        <xdr:cNvPr id="4" name="TextBox 3"/>
        <xdr:cNvSpPr txBox="1"/>
      </xdr:nvSpPr>
      <xdr:spPr>
        <a:xfrm>
          <a:off x="247650" y="12068175"/>
          <a:ext cx="6953250" cy="771525"/>
        </a:xfrm>
        <a:prstGeom prst="rect">
          <a:avLst/>
        </a:prstGeom>
        <a:solidFill>
          <a:srgbClr val="FFFFFF"/>
        </a:solidFill>
        <a:ln w="9525" cmpd="sng">
          <a:noFill/>
        </a:ln>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Disclaimer: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161925</xdr:rowOff>
    </xdr:from>
    <xdr:to>
      <xdr:col>7</xdr:col>
      <xdr:colOff>285750</xdr:colOff>
      <xdr:row>20</xdr:row>
      <xdr:rowOff>161925</xdr:rowOff>
    </xdr:to>
    <xdr:graphicFrame macro="">
      <xdr:nvGraphicFramePr>
        <xdr:cNvPr id="2104" name="Chart 3"/>
        <xdr:cNvGraphicFramePr/>
      </xdr:nvGraphicFramePr>
      <xdr:xfrm>
        <a:off x="85725" y="161925"/>
        <a:ext cx="6067425"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23</xdr:row>
      <xdr:rowOff>47625</xdr:rowOff>
    </xdr:from>
    <xdr:to>
      <xdr:col>6</xdr:col>
      <xdr:colOff>762000</xdr:colOff>
      <xdr:row>44</xdr:row>
      <xdr:rowOff>104775</xdr:rowOff>
    </xdr:to>
    <xdr:graphicFrame macro="">
      <xdr:nvGraphicFramePr>
        <xdr:cNvPr id="2105" name="Chart 5"/>
        <xdr:cNvGraphicFramePr/>
      </xdr:nvGraphicFramePr>
      <xdr:xfrm>
        <a:off x="209550" y="4429125"/>
        <a:ext cx="5581650" cy="4057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0" Type="http://schemas.openxmlformats.org/officeDocument/2006/relationships/control" Target="../activeX/activeX3.xml" /><Relationship Id="rId6" Type="http://schemas.openxmlformats.org/officeDocument/2006/relationships/control" Target="../activeX/activeX1.xml" /><Relationship Id="rId14" Type="http://schemas.openxmlformats.org/officeDocument/2006/relationships/control" Target="../activeX/activeX5.xml" /><Relationship Id="rId8" Type="http://schemas.openxmlformats.org/officeDocument/2006/relationships/control" Target="../activeX/activeX2.xml" /><Relationship Id="rId12" Type="http://schemas.openxmlformats.org/officeDocument/2006/relationships/control" Target="../activeX/activeX4.xml" /><Relationship Id="rId7" Type="http://schemas.openxmlformats.org/officeDocument/2006/relationships/image" Target="../media/image1.emf" /><Relationship Id="rId11" Type="http://schemas.openxmlformats.org/officeDocument/2006/relationships/image" Target="../media/image3.emf" /><Relationship Id="rId15" Type="http://schemas.openxmlformats.org/officeDocument/2006/relationships/image" Target="../media/image5.emf" /><Relationship Id="rId13" Type="http://schemas.openxmlformats.org/officeDocument/2006/relationships/image" Target="../media/image4.emf" /><Relationship Id="rId9" Type="http://schemas.openxmlformats.org/officeDocument/2006/relationships/image" Target="../media/image2.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4" Type="http://schemas.openxmlformats.org/officeDocument/2006/relationships/control" Target="../activeX/activeX4.xml" /><Relationship Id="rId5" Type="http://schemas.openxmlformats.org/officeDocument/2006/relationships/control" Target="../activeX/activeX5.xml" /><Relationship Id="rId16" Type="http://schemas.openxmlformats.org/officeDocument/2006/relationships/hyperlink" Target="http://www.irs.gov/uac/Publication-15-(Circular-E),-Employer's-Tax-Guide" TargetMode="External" /><Relationship Id="rId17" Type="http://schemas.openxmlformats.org/officeDocument/2006/relationships/hyperlink" Target="http://www.tax.ok.gov/"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drawing" Target="../drawings/drawing1.xm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ontrol" Target="../activeX/activeX7.xml" /><Relationship Id="rId7" Type="http://schemas.openxmlformats.org/officeDocument/2006/relationships/control" Target="../activeX/activeX8.xml" /><Relationship Id="rId11" Type="http://schemas.openxmlformats.org/officeDocument/2006/relationships/control" Target="../activeX/activeX10.xml" /><Relationship Id="rId3" Type="http://schemas.openxmlformats.org/officeDocument/2006/relationships/control" Target="../activeX/activeX6.xml" /><Relationship Id="rId9" Type="http://schemas.openxmlformats.org/officeDocument/2006/relationships/control" Target="../activeX/activeX9.xml" /><Relationship Id="rId4" Type="http://schemas.openxmlformats.org/officeDocument/2006/relationships/image" Target="../media/image8.emf" /><Relationship Id="rId6" Type="http://schemas.openxmlformats.org/officeDocument/2006/relationships/image" Target="../media/image9.emf" /><Relationship Id="rId8" Type="http://schemas.openxmlformats.org/officeDocument/2006/relationships/image" Target="../media/image10.emf" /><Relationship Id="rId12" Type="http://schemas.openxmlformats.org/officeDocument/2006/relationships/image" Target="../media/image12.emf" /><Relationship Id="rId10" Type="http://schemas.openxmlformats.org/officeDocument/2006/relationships/image" Target="../media/image11.emf" /><Relationship Id="rId1" Type="http://schemas.openxmlformats.org/officeDocument/2006/relationships/control" Target="../activeX/activeX6.xml" /><Relationship Id="rId2" Type="http://schemas.openxmlformats.org/officeDocument/2006/relationships/control" Target="../activeX/activeX7.xml" /><Relationship Id="rId13" Type="http://schemas.openxmlformats.org/officeDocument/2006/relationships/control" Target="../activeX/activeX8.xml" /><Relationship Id="rId14" Type="http://schemas.openxmlformats.org/officeDocument/2006/relationships/control" Target="../activeX/activeX9.xml" /><Relationship Id="rId15" Type="http://schemas.openxmlformats.org/officeDocument/2006/relationships/control" Target="../activeX/activeX10.xml" /><Relationship Id="rId16" Type="http://schemas.openxmlformats.org/officeDocument/2006/relationships/comments" Target="../comments2.xml" /><Relationship Id="rId17"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5" Type="http://schemas.openxmlformats.org/officeDocument/2006/relationships/control" Target="../activeX/activeX12.xml" /><Relationship Id="rId7" Type="http://schemas.openxmlformats.org/officeDocument/2006/relationships/control" Target="../activeX/activeX13.xml" /><Relationship Id="rId11" Type="http://schemas.openxmlformats.org/officeDocument/2006/relationships/control" Target="../activeX/activeX15.xml" /><Relationship Id="rId3" Type="http://schemas.openxmlformats.org/officeDocument/2006/relationships/control" Target="../activeX/activeX11.xml" /><Relationship Id="rId9" Type="http://schemas.openxmlformats.org/officeDocument/2006/relationships/control" Target="../activeX/activeX14.xml" /><Relationship Id="rId4" Type="http://schemas.openxmlformats.org/officeDocument/2006/relationships/image" Target="../media/image13.emf" /><Relationship Id="rId6" Type="http://schemas.openxmlformats.org/officeDocument/2006/relationships/image" Target="../media/image14.emf" /><Relationship Id="rId8" Type="http://schemas.openxmlformats.org/officeDocument/2006/relationships/image" Target="../media/image15.emf" /><Relationship Id="rId12" Type="http://schemas.openxmlformats.org/officeDocument/2006/relationships/image" Target="../media/image17.emf" /><Relationship Id="rId10" Type="http://schemas.openxmlformats.org/officeDocument/2006/relationships/image" Target="../media/image16.emf" /><Relationship Id="rId1" Type="http://schemas.openxmlformats.org/officeDocument/2006/relationships/control" Target="../activeX/activeX11.xml" /><Relationship Id="rId2" Type="http://schemas.openxmlformats.org/officeDocument/2006/relationships/control" Target="../activeX/activeX12.xml" /><Relationship Id="rId13" Type="http://schemas.openxmlformats.org/officeDocument/2006/relationships/control" Target="../activeX/activeX13.xml" /><Relationship Id="rId14" Type="http://schemas.openxmlformats.org/officeDocument/2006/relationships/control" Target="../activeX/activeX14.xml" /><Relationship Id="rId15" Type="http://schemas.openxmlformats.org/officeDocument/2006/relationships/control" Target="../activeX/activeX15.xml" /><Relationship Id="rId16" Type="http://schemas.openxmlformats.org/officeDocument/2006/relationships/comments" Target="../comments3.xml" /><Relationship Id="rId17"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5" Type="http://schemas.openxmlformats.org/officeDocument/2006/relationships/control" Target="../activeX/activeX16.xml" /><Relationship Id="rId7" Type="http://schemas.openxmlformats.org/officeDocument/2006/relationships/control" Target="../activeX/activeX17.xml" /><Relationship Id="rId13" Type="http://schemas.openxmlformats.org/officeDocument/2006/relationships/control" Target="../activeX/activeX20.xml" /><Relationship Id="rId11" Type="http://schemas.openxmlformats.org/officeDocument/2006/relationships/control" Target="../activeX/activeX19.xml" /><Relationship Id="rId9" Type="http://schemas.openxmlformats.org/officeDocument/2006/relationships/control" Target="../activeX/activeX18.xml" /><Relationship Id="rId6" Type="http://schemas.openxmlformats.org/officeDocument/2006/relationships/image" Target="../media/image18.emf" /><Relationship Id="rId14" Type="http://schemas.openxmlformats.org/officeDocument/2006/relationships/image" Target="../media/image22.emf" /><Relationship Id="rId8" Type="http://schemas.openxmlformats.org/officeDocument/2006/relationships/image" Target="../media/image19.emf" /><Relationship Id="rId12" Type="http://schemas.openxmlformats.org/officeDocument/2006/relationships/image" Target="../media/image21.emf" /><Relationship Id="rId10" Type="http://schemas.openxmlformats.org/officeDocument/2006/relationships/image" Target="../media/image20.emf" /><Relationship Id="rId1" Type="http://schemas.openxmlformats.org/officeDocument/2006/relationships/control" Target="../activeX/activeX16.xml" /><Relationship Id="rId2" Type="http://schemas.openxmlformats.org/officeDocument/2006/relationships/control" Target="../activeX/activeX17.xml" /><Relationship Id="rId3" Type="http://schemas.openxmlformats.org/officeDocument/2006/relationships/control" Target="../activeX/activeX18.xml" /><Relationship Id="rId4" Type="http://schemas.openxmlformats.org/officeDocument/2006/relationships/control" Target="../activeX/activeX19.xml" /><Relationship Id="rId15" Type="http://schemas.openxmlformats.org/officeDocument/2006/relationships/control" Target="../activeX/activeX20.xml" /><Relationship Id="rId16" Type="http://schemas.openxmlformats.org/officeDocument/2006/relationships/hyperlink" Target="http://pods.dasnr.okstate.edu/docushare/dsweb/Get/Document-8705/CR-216web12-13.pdf" TargetMode="External" /><Relationship Id="rId17" Type="http://schemas.openxmlformats.org/officeDocument/2006/relationships/comments" Target="../comments4.xml" /><Relationship Id="rId18" Type="http://schemas.openxmlformats.org/officeDocument/2006/relationships/vmlDrawing" Target="../drawings/vmlDrawing4.vml" /><Relationship Id="rId19"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5" Type="http://schemas.openxmlformats.org/officeDocument/2006/relationships/control" Target="../activeX/activeX22.xml" /><Relationship Id="rId7" Type="http://schemas.openxmlformats.org/officeDocument/2006/relationships/control" Target="../activeX/activeX23.xml" /><Relationship Id="rId11" Type="http://schemas.openxmlformats.org/officeDocument/2006/relationships/control" Target="../activeX/activeX25.xml" /><Relationship Id="rId3" Type="http://schemas.openxmlformats.org/officeDocument/2006/relationships/control" Target="../activeX/activeX21.xml" /><Relationship Id="rId9" Type="http://schemas.openxmlformats.org/officeDocument/2006/relationships/control" Target="../activeX/activeX24.xml" /><Relationship Id="rId4" Type="http://schemas.openxmlformats.org/officeDocument/2006/relationships/image" Target="../media/image23.emf" /><Relationship Id="rId6" Type="http://schemas.openxmlformats.org/officeDocument/2006/relationships/image" Target="../media/image24.emf" /><Relationship Id="rId8" Type="http://schemas.openxmlformats.org/officeDocument/2006/relationships/image" Target="../media/image25.emf" /><Relationship Id="rId12" Type="http://schemas.openxmlformats.org/officeDocument/2006/relationships/image" Target="../media/image27.emf" /><Relationship Id="rId10" Type="http://schemas.openxmlformats.org/officeDocument/2006/relationships/image" Target="../media/image26.emf" /><Relationship Id="rId1" Type="http://schemas.openxmlformats.org/officeDocument/2006/relationships/control" Target="../activeX/activeX21.xml" /><Relationship Id="rId2" Type="http://schemas.openxmlformats.org/officeDocument/2006/relationships/control" Target="../activeX/activeX22.xml" /><Relationship Id="rId13" Type="http://schemas.openxmlformats.org/officeDocument/2006/relationships/control" Target="../activeX/activeX23.xml" /><Relationship Id="rId14" Type="http://schemas.openxmlformats.org/officeDocument/2006/relationships/control" Target="../activeX/activeX24.xml" /><Relationship Id="rId15" Type="http://schemas.openxmlformats.org/officeDocument/2006/relationships/control" Target="../activeX/activeX25.xml" /><Relationship Id="rId16" Type="http://schemas.openxmlformats.org/officeDocument/2006/relationships/comments" Target="../comments5.xml" /><Relationship Id="rId17"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3" Type="http://schemas.openxmlformats.org/officeDocument/2006/relationships/control" Target="../activeX/activeX26.xml" /><Relationship Id="rId7" Type="http://schemas.openxmlformats.org/officeDocument/2006/relationships/control" Target="../activeX/activeX28.xml" /><Relationship Id="rId11" Type="http://schemas.openxmlformats.org/officeDocument/2006/relationships/control" Target="../activeX/activeX30.xml" /><Relationship Id="rId5" Type="http://schemas.openxmlformats.org/officeDocument/2006/relationships/control" Target="../activeX/activeX27.xml" /><Relationship Id="rId9" Type="http://schemas.openxmlformats.org/officeDocument/2006/relationships/control" Target="../activeX/activeX29.xml" /><Relationship Id="rId8" Type="http://schemas.openxmlformats.org/officeDocument/2006/relationships/image" Target="../media/image30.emf" /><Relationship Id="rId4" Type="http://schemas.openxmlformats.org/officeDocument/2006/relationships/image" Target="../media/image28.emf" /><Relationship Id="rId10" Type="http://schemas.openxmlformats.org/officeDocument/2006/relationships/image" Target="../media/image31.emf" /><Relationship Id="rId12" Type="http://schemas.openxmlformats.org/officeDocument/2006/relationships/image" Target="../media/image32.emf" /><Relationship Id="rId6" Type="http://schemas.openxmlformats.org/officeDocument/2006/relationships/image" Target="../media/image29.emf" /><Relationship Id="rId1" Type="http://schemas.openxmlformats.org/officeDocument/2006/relationships/control" Target="../activeX/activeX26.xml" /><Relationship Id="rId2" Type="http://schemas.openxmlformats.org/officeDocument/2006/relationships/control" Target="../activeX/activeX27.xml" /><Relationship Id="rId13" Type="http://schemas.openxmlformats.org/officeDocument/2006/relationships/control" Target="../activeX/activeX28.xml" /><Relationship Id="rId14" Type="http://schemas.openxmlformats.org/officeDocument/2006/relationships/control" Target="../activeX/activeX29.xml" /><Relationship Id="rId15" Type="http://schemas.openxmlformats.org/officeDocument/2006/relationships/control" Target="../activeX/activeX30.xml" /><Relationship Id="rId16" Type="http://schemas.openxmlformats.org/officeDocument/2006/relationships/vmlDrawing" Target="../drawings/vmlDrawing6.vml" /><Relationship Id="rId17"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2:AG215"/>
  <sheetViews>
    <sheetView showGridLines="0" tabSelected="1" workbookViewId="0" topLeftCell="A1"/>
  </sheetViews>
  <sheetFormatPr defaultColWidth="12.57421875" defaultRowHeight="15"/>
  <cols>
    <col min="1" max="1" width="3.7109375" style="17" customWidth="1"/>
    <col min="2" max="2" width="34.421875" style="17" customWidth="1"/>
    <col min="3" max="3" width="7.00390625" style="17" customWidth="1"/>
    <col min="4" max="4" width="17.8515625" style="17" customWidth="1"/>
    <col min="5" max="5" width="15.57421875" style="17" customWidth="1"/>
    <col min="6" max="6" width="12.421875" style="17" customWidth="1"/>
    <col min="7" max="7" width="16.421875" style="17" customWidth="1"/>
    <col min="8" max="8" width="13.8515625" style="17" customWidth="1"/>
    <col min="9" max="9" width="1.421875" style="17" customWidth="1"/>
    <col min="10" max="16384" width="12.57421875" style="17" customWidth="1"/>
  </cols>
  <sheetData>
    <row r="1" ht="14.25"/>
    <row r="2" spans="2:9" ht="72.9" customHeight="1">
      <c r="B2" s="88" t="s">
        <v>183</v>
      </c>
      <c r="C2" s="89"/>
      <c r="D2" s="89"/>
      <c r="E2" s="89"/>
      <c r="F2" s="89"/>
      <c r="G2" s="89"/>
      <c r="H2" s="89"/>
      <c r="I2" s="90"/>
    </row>
    <row r="3" spans="2:9" ht="72.9" customHeight="1">
      <c r="B3" s="91"/>
      <c r="C3" s="92"/>
      <c r="D3" s="92"/>
      <c r="E3" s="92"/>
      <c r="F3" s="92"/>
      <c r="G3" s="92"/>
      <c r="H3" s="92"/>
      <c r="I3" s="93"/>
    </row>
    <row r="5" spans="2:30" ht="17.4">
      <c r="B5" s="18"/>
      <c r="C5" s="18"/>
      <c r="D5" s="2" t="s">
        <v>0</v>
      </c>
      <c r="AC5" s="17" t="s">
        <v>1</v>
      </c>
      <c r="AD5" s="17" t="s">
        <v>2</v>
      </c>
    </row>
    <row r="6" spans="2:4" ht="15.6">
      <c r="B6" s="18"/>
      <c r="C6" s="18"/>
      <c r="D6" s="3"/>
    </row>
    <row r="7" spans="2:4" ht="15.6">
      <c r="B7" s="18"/>
      <c r="C7" s="18"/>
      <c r="D7" s="3"/>
    </row>
    <row r="8" spans="2:30" ht="15.6">
      <c r="B8" s="21" t="s">
        <v>3</v>
      </c>
      <c r="C8" s="21"/>
      <c r="D8" s="94" t="s">
        <v>4</v>
      </c>
      <c r="E8" s="95"/>
      <c r="F8" s="22" t="s">
        <v>5</v>
      </c>
      <c r="G8" s="80">
        <f ca="1">TRUNC(NOW())</f>
        <v>44495</v>
      </c>
      <c r="AC8" s="17" t="s">
        <v>6</v>
      </c>
      <c r="AD8" s="17" t="s">
        <v>7</v>
      </c>
    </row>
    <row r="9" spans="2:6" ht="15.6">
      <c r="B9" s="21"/>
      <c r="C9" s="21"/>
      <c r="D9" s="72"/>
      <c r="E9" s="78"/>
      <c r="F9" s="21"/>
    </row>
    <row r="10" spans="2:4" ht="15">
      <c r="B10" s="23" t="s">
        <v>190</v>
      </c>
      <c r="C10" s="21"/>
      <c r="D10" s="60">
        <v>1000</v>
      </c>
    </row>
    <row r="11" spans="2:33" ht="15">
      <c r="B11" s="21" t="s">
        <v>193</v>
      </c>
      <c r="C11" s="21"/>
      <c r="D11" s="60">
        <v>1</v>
      </c>
      <c r="E11" s="21"/>
      <c r="F11" s="21"/>
      <c r="G11" s="21"/>
      <c r="H11" s="18"/>
      <c r="I11" s="18"/>
      <c r="J11" s="18"/>
      <c r="K11" s="18"/>
      <c r="L11" s="18"/>
      <c r="M11" s="18"/>
      <c r="N11" s="18"/>
      <c r="O11" s="18"/>
      <c r="P11" s="18"/>
      <c r="Q11" s="18"/>
      <c r="R11" s="18"/>
      <c r="S11" s="18"/>
      <c r="T11" s="18"/>
      <c r="U11" s="18"/>
      <c r="V11" s="18"/>
      <c r="W11" s="18"/>
      <c r="X11" s="18"/>
      <c r="Y11" s="18"/>
      <c r="Z11" s="18"/>
      <c r="AA11" s="18"/>
      <c r="AB11" s="18"/>
      <c r="AC11" s="18" t="s">
        <v>8</v>
      </c>
      <c r="AD11" s="18" t="s">
        <v>9</v>
      </c>
      <c r="AE11" s="18" t="s">
        <v>10</v>
      </c>
      <c r="AF11" s="17" t="s">
        <v>11</v>
      </c>
      <c r="AG11" s="17" t="s">
        <v>12</v>
      </c>
    </row>
    <row r="12" spans="2:31" ht="15">
      <c r="B12" s="21"/>
      <c r="C12" s="21"/>
      <c r="D12" s="79"/>
      <c r="E12" s="21"/>
      <c r="F12" s="21"/>
      <c r="G12" s="21"/>
      <c r="H12" s="18"/>
      <c r="I12" s="18"/>
      <c r="J12" s="18"/>
      <c r="K12" s="18"/>
      <c r="L12" s="18"/>
      <c r="M12" s="18"/>
      <c r="N12" s="18"/>
      <c r="O12" s="18"/>
      <c r="P12" s="18"/>
      <c r="Q12" s="18"/>
      <c r="R12" s="18"/>
      <c r="S12" s="18"/>
      <c r="T12" s="18"/>
      <c r="U12" s="18"/>
      <c r="V12" s="18"/>
      <c r="W12" s="18"/>
      <c r="X12" s="18"/>
      <c r="Y12" s="18"/>
      <c r="Z12" s="18"/>
      <c r="AA12" s="18"/>
      <c r="AB12" s="18"/>
      <c r="AC12" s="18"/>
      <c r="AD12" s="18"/>
      <c r="AE12" s="18"/>
    </row>
    <row r="13" spans="2:33" ht="15.6">
      <c r="B13" s="3" t="s">
        <v>13</v>
      </c>
      <c r="C13" s="21"/>
      <c r="D13" s="21"/>
      <c r="E13" s="21"/>
      <c r="F13" s="21"/>
      <c r="G13" s="21"/>
      <c r="H13" s="18"/>
      <c r="I13" s="18"/>
      <c r="J13" s="18"/>
      <c r="K13" s="18"/>
      <c r="L13" s="18"/>
      <c r="M13" s="18"/>
      <c r="N13" s="18"/>
      <c r="O13" s="18"/>
      <c r="P13" s="18"/>
      <c r="Q13" s="18"/>
      <c r="R13" s="18"/>
      <c r="S13" s="18"/>
      <c r="T13" s="18"/>
      <c r="U13" s="18"/>
      <c r="V13" s="18"/>
      <c r="W13" s="18"/>
      <c r="X13" s="18"/>
      <c r="Y13" s="18"/>
      <c r="Z13" s="18"/>
      <c r="AA13" s="18"/>
      <c r="AB13" s="18"/>
      <c r="AC13" s="19">
        <f>Summary!I6</f>
        <v>65.64</v>
      </c>
      <c r="AD13" s="19">
        <f>Summary!I12</f>
        <v>28.55</v>
      </c>
      <c r="AE13" s="19">
        <f>Summary!I18</f>
        <v>17.57</v>
      </c>
      <c r="AF13" s="19">
        <f>Summary!I23</f>
        <v>4.27</v>
      </c>
      <c r="AG13" s="19">
        <f>Summary!I28</f>
        <v>0</v>
      </c>
    </row>
    <row r="14" spans="2:7" ht="15">
      <c r="B14" s="23"/>
      <c r="C14" s="23"/>
      <c r="D14" s="23"/>
      <c r="E14" s="24" t="s">
        <v>14</v>
      </c>
      <c r="F14" s="24" t="s">
        <v>15</v>
      </c>
      <c r="G14" s="24" t="s">
        <v>16</v>
      </c>
    </row>
    <row r="15" spans="2:7" ht="15">
      <c r="B15" s="23" t="s">
        <v>17</v>
      </c>
      <c r="C15" s="23"/>
      <c r="D15" s="24" t="s">
        <v>18</v>
      </c>
      <c r="E15" s="24" t="s">
        <v>19</v>
      </c>
      <c r="F15" s="24" t="s">
        <v>20</v>
      </c>
      <c r="G15" s="24" t="s">
        <v>21</v>
      </c>
    </row>
    <row r="16" spans="2:7" ht="15">
      <c r="B16" s="21"/>
      <c r="C16" s="21"/>
      <c r="D16" s="59">
        <v>0</v>
      </c>
      <c r="E16" s="26" t="s">
        <v>22</v>
      </c>
      <c r="F16" s="60">
        <v>1</v>
      </c>
      <c r="G16" s="21">
        <f>(D16*F16)</f>
        <v>0</v>
      </c>
    </row>
    <row r="17" spans="2:7" ht="15">
      <c r="B17" s="21"/>
      <c r="C17" s="21"/>
      <c r="D17" s="59">
        <v>2500</v>
      </c>
      <c r="E17" s="26" t="s">
        <v>23</v>
      </c>
      <c r="F17" s="60">
        <v>12</v>
      </c>
      <c r="G17" s="21">
        <f>(D17*F17)</f>
        <v>30000</v>
      </c>
    </row>
    <row r="18" spans="2:7" ht="15">
      <c r="B18" s="21"/>
      <c r="C18" s="21"/>
      <c r="D18" s="59">
        <v>0</v>
      </c>
      <c r="E18" s="26" t="s">
        <v>24</v>
      </c>
      <c r="F18" s="60">
        <v>0</v>
      </c>
      <c r="G18" s="21">
        <f>(D18*F18)</f>
        <v>0</v>
      </c>
    </row>
    <row r="19" spans="2:7" ht="15">
      <c r="B19" s="21"/>
      <c r="C19" s="21"/>
      <c r="D19" s="59">
        <v>0</v>
      </c>
      <c r="E19" s="26" t="s">
        <v>25</v>
      </c>
      <c r="F19" s="60">
        <v>0</v>
      </c>
      <c r="G19" s="21">
        <f>(D19*F19)</f>
        <v>0</v>
      </c>
    </row>
    <row r="20" spans="2:7" ht="15">
      <c r="B20" s="21" t="s">
        <v>26</v>
      </c>
      <c r="C20" s="21"/>
      <c r="D20" s="59">
        <v>20</v>
      </c>
      <c r="E20" s="26" t="s">
        <v>25</v>
      </c>
      <c r="F20" s="60">
        <v>0</v>
      </c>
      <c r="G20" s="21">
        <f>(D20*F20)</f>
        <v>0</v>
      </c>
    </row>
    <row r="21" spans="2:7" ht="15">
      <c r="B21" s="21" t="s">
        <v>27</v>
      </c>
      <c r="C21" s="21"/>
      <c r="D21" s="21"/>
      <c r="E21" s="26" t="s">
        <v>22</v>
      </c>
      <c r="F21" s="9"/>
      <c r="G21" s="59">
        <v>1000</v>
      </c>
    </row>
    <row r="22" spans="2:7" ht="15.6">
      <c r="B22" s="3" t="s">
        <v>176</v>
      </c>
      <c r="C22" s="21"/>
      <c r="D22" s="21"/>
      <c r="E22" s="4" t="s">
        <v>22</v>
      </c>
      <c r="F22" s="21"/>
      <c r="G22" s="3">
        <f>SUM(G16:G21)</f>
        <v>31000</v>
      </c>
    </row>
    <row r="23" spans="2:7" ht="15.6">
      <c r="B23" s="28"/>
      <c r="C23" s="29"/>
      <c r="D23" s="29"/>
      <c r="E23" s="30"/>
      <c r="F23" s="29"/>
      <c r="G23" s="28"/>
    </row>
    <row r="24" spans="2:7" ht="15.6">
      <c r="B24" s="6" t="s">
        <v>197</v>
      </c>
      <c r="C24" s="23"/>
      <c r="D24" s="23"/>
      <c r="E24" s="23"/>
      <c r="F24" s="23"/>
      <c r="G24" s="23"/>
    </row>
    <row r="25" spans="2:7" ht="15.6">
      <c r="B25" s="6"/>
      <c r="C25" s="23"/>
      <c r="D25" s="23"/>
      <c r="E25" s="24" t="s">
        <v>29</v>
      </c>
      <c r="F25" s="23"/>
      <c r="G25" s="23"/>
    </row>
    <row r="26" spans="2:7" ht="15">
      <c r="B26" s="23" t="s">
        <v>199</v>
      </c>
      <c r="C26" s="23"/>
      <c r="D26" s="23"/>
      <c r="E26" s="24" t="s">
        <v>30</v>
      </c>
      <c r="F26" s="24" t="s">
        <v>31</v>
      </c>
      <c r="G26" s="23"/>
    </row>
    <row r="27" spans="2:14" ht="15">
      <c r="B27" s="21" t="s">
        <v>32</v>
      </c>
      <c r="C27" s="21"/>
      <c r="D27" s="21"/>
      <c r="E27" s="61">
        <f>+G22</f>
        <v>31000</v>
      </c>
      <c r="F27" s="62">
        <v>7.65</v>
      </c>
      <c r="G27" s="21">
        <f>ROUND((E27*0.01*$F27),2)</f>
        <v>2371.5</v>
      </c>
      <c r="N27" s="76"/>
    </row>
    <row r="28" spans="2:7" ht="15">
      <c r="B28" s="21" t="s">
        <v>33</v>
      </c>
      <c r="C28" s="21"/>
      <c r="D28" s="21"/>
      <c r="E28" s="61">
        <f>+G22</f>
        <v>31000</v>
      </c>
      <c r="F28" s="62">
        <v>6.2</v>
      </c>
      <c r="G28" s="21">
        <f>ROUND((E28*0.01*$F28),2)</f>
        <v>1922</v>
      </c>
    </row>
    <row r="29" spans="2:7" ht="15">
      <c r="B29" s="21" t="s">
        <v>34</v>
      </c>
      <c r="C29" s="21"/>
      <c r="D29" s="21"/>
      <c r="E29" s="61">
        <f>+G22</f>
        <v>31000</v>
      </c>
      <c r="F29" s="62">
        <v>0</v>
      </c>
      <c r="G29" s="21">
        <f>ROUND((E29*0.01*$F29),2)</f>
        <v>0</v>
      </c>
    </row>
    <row r="30" spans="2:7" ht="15">
      <c r="B30" s="21" t="s">
        <v>35</v>
      </c>
      <c r="C30" s="21"/>
      <c r="D30" s="21"/>
      <c r="E30" s="61">
        <f>+G22</f>
        <v>31000</v>
      </c>
      <c r="F30" s="62">
        <v>2</v>
      </c>
      <c r="G30" s="21">
        <f>ROUND((E30*0.01*$F30),2)</f>
        <v>620</v>
      </c>
    </row>
    <row r="31" spans="2:7" ht="15">
      <c r="B31" s="21" t="s">
        <v>36</v>
      </c>
      <c r="C31" s="21"/>
      <c r="D31" s="21"/>
      <c r="E31" s="61">
        <f>+G22</f>
        <v>31000</v>
      </c>
      <c r="F31" s="62">
        <v>0</v>
      </c>
      <c r="G31" s="27">
        <f>ROUND((E31*0.01*$F31),2)</f>
        <v>0</v>
      </c>
    </row>
    <row r="32" spans="2:7" s="6" customFormat="1" ht="15.6">
      <c r="B32" s="3" t="s">
        <v>198</v>
      </c>
      <c r="C32" s="3"/>
      <c r="D32" s="3"/>
      <c r="E32" s="7"/>
      <c r="F32" s="3"/>
      <c r="G32" s="3">
        <f>SUM(G27:G31)</f>
        <v>4913.5</v>
      </c>
    </row>
    <row r="33" spans="2:7" s="6" customFormat="1" ht="15.6">
      <c r="B33" s="3"/>
      <c r="C33" s="3"/>
      <c r="D33" s="3"/>
      <c r="E33" s="7"/>
      <c r="F33" s="3"/>
      <c r="G33" s="3"/>
    </row>
    <row r="34" spans="2:7" s="6" customFormat="1" ht="15.6">
      <c r="B34" s="8" t="s">
        <v>37</v>
      </c>
      <c r="C34" s="3"/>
      <c r="D34" s="3"/>
      <c r="E34" s="7"/>
      <c r="F34" s="3"/>
      <c r="G34" s="3"/>
    </row>
    <row r="35" spans="2:7" s="6" customFormat="1" ht="15.6">
      <c r="B35" s="8" t="s">
        <v>38</v>
      </c>
      <c r="C35" s="3"/>
      <c r="D35" s="3"/>
      <c r="E35" s="74" t="s">
        <v>93</v>
      </c>
      <c r="F35" s="62">
        <v>0</v>
      </c>
      <c r="G35" s="8">
        <f>ROUND((F35*0.01*$G$22),2)</f>
        <v>0</v>
      </c>
    </row>
    <row r="36" spans="2:7" ht="15.6">
      <c r="B36" s="23" t="s">
        <v>39</v>
      </c>
      <c r="C36" s="23"/>
      <c r="D36" s="23"/>
      <c r="E36" s="74" t="s">
        <v>93</v>
      </c>
      <c r="F36" s="62">
        <v>7</v>
      </c>
      <c r="G36" s="23">
        <f>ROUND((F36*0.01*$G$22),2)</f>
        <v>2170</v>
      </c>
    </row>
    <row r="37" spans="2:7" ht="15">
      <c r="B37" s="21" t="s">
        <v>40</v>
      </c>
      <c r="C37" s="21"/>
      <c r="D37" s="21"/>
      <c r="E37" s="26" t="s">
        <v>23</v>
      </c>
      <c r="F37" s="59">
        <v>450</v>
      </c>
      <c r="G37" s="8">
        <f>(F37*12)</f>
        <v>5400</v>
      </c>
    </row>
    <row r="38" spans="2:7" ht="15">
      <c r="B38" s="21" t="s">
        <v>41</v>
      </c>
      <c r="C38" s="21"/>
      <c r="D38" s="21"/>
      <c r="E38" s="26" t="s">
        <v>22</v>
      </c>
      <c r="F38" s="21"/>
      <c r="G38" s="59">
        <v>0</v>
      </c>
    </row>
    <row r="39" spans="2:7" s="6" customFormat="1" ht="15.6">
      <c r="B39" s="3" t="s">
        <v>42</v>
      </c>
      <c r="C39" s="3"/>
      <c r="D39" s="3"/>
      <c r="E39" s="4"/>
      <c r="F39" s="3"/>
      <c r="G39" s="3">
        <f>SUM(G35:G38)</f>
        <v>7570</v>
      </c>
    </row>
    <row r="40" spans="2:7" ht="15">
      <c r="B40" s="23"/>
      <c r="C40" s="23"/>
      <c r="D40" s="23"/>
      <c r="E40" s="23"/>
      <c r="F40" s="23"/>
      <c r="G40" s="23"/>
    </row>
    <row r="41" spans="2:7" ht="15.6">
      <c r="B41" s="3" t="s">
        <v>200</v>
      </c>
      <c r="C41" s="21"/>
      <c r="D41" s="21"/>
      <c r="E41" s="21"/>
      <c r="F41" s="21"/>
      <c r="G41" s="28">
        <f>SUM(G32+G39)</f>
        <v>12483.5</v>
      </c>
    </row>
    <row r="42" spans="2:7" ht="15">
      <c r="B42" s="23"/>
      <c r="C42" s="23"/>
      <c r="D42" s="23"/>
      <c r="E42" s="23"/>
      <c r="F42" s="23"/>
      <c r="G42" s="23"/>
    </row>
    <row r="43" spans="2:7" ht="15">
      <c r="B43" s="23" t="s">
        <v>43</v>
      </c>
      <c r="C43" s="23"/>
      <c r="D43" s="23"/>
      <c r="E43" s="23"/>
      <c r="F43" s="23"/>
      <c r="G43" s="23"/>
    </row>
    <row r="44" spans="2:7" ht="15">
      <c r="B44" s="59" t="s">
        <v>44</v>
      </c>
      <c r="C44" s="9"/>
      <c r="D44" s="9"/>
      <c r="E44" s="26" t="s">
        <v>22</v>
      </c>
      <c r="F44" s="21"/>
      <c r="G44" s="59">
        <v>750</v>
      </c>
    </row>
    <row r="45" spans="2:7" ht="15">
      <c r="B45" s="59" t="s">
        <v>45</v>
      </c>
      <c r="C45" s="9"/>
      <c r="D45" s="9"/>
      <c r="E45" s="26" t="s">
        <v>22</v>
      </c>
      <c r="F45" s="21"/>
      <c r="G45" s="59">
        <v>250</v>
      </c>
    </row>
    <row r="46" spans="2:7" ht="15">
      <c r="B46" s="59" t="s">
        <v>36</v>
      </c>
      <c r="C46" s="9"/>
      <c r="D46" s="9"/>
      <c r="E46" s="26" t="s">
        <v>22</v>
      </c>
      <c r="F46" s="21"/>
      <c r="G46" s="59">
        <v>0</v>
      </c>
    </row>
    <row r="47" spans="2:7" ht="15.6">
      <c r="B47" s="3" t="s">
        <v>46</v>
      </c>
      <c r="C47" s="21"/>
      <c r="D47" s="21"/>
      <c r="E47" s="21"/>
      <c r="F47" s="21"/>
      <c r="G47" s="3">
        <f>SUM(G44:G46)</f>
        <v>1000</v>
      </c>
    </row>
    <row r="48" spans="2:7" ht="15.6">
      <c r="B48" s="3"/>
      <c r="C48" s="21"/>
      <c r="D48" s="21"/>
      <c r="E48" s="21"/>
      <c r="F48" s="21"/>
      <c r="G48" s="3"/>
    </row>
    <row r="49" spans="2:7" ht="15.6">
      <c r="B49" s="3" t="s">
        <v>47</v>
      </c>
      <c r="C49" s="21"/>
      <c r="D49" s="21"/>
      <c r="E49" s="21"/>
      <c r="F49" s="21"/>
      <c r="G49" s="3">
        <f>(G41+G47)</f>
        <v>13483.5</v>
      </c>
    </row>
    <row r="51" spans="2:7" ht="15">
      <c r="B51" s="31"/>
      <c r="C51" s="31"/>
      <c r="D51" s="31"/>
      <c r="E51" s="31"/>
      <c r="F51" s="31"/>
      <c r="G51" s="31"/>
    </row>
    <row r="52" ht="15">
      <c r="B52" s="87" t="s">
        <v>194</v>
      </c>
    </row>
    <row r="53" spans="2:4" ht="15">
      <c r="B53" s="96" t="s">
        <v>195</v>
      </c>
      <c r="C53" s="97"/>
      <c r="D53" s="97"/>
    </row>
    <row r="54" ht="15">
      <c r="B54" s="86" t="s">
        <v>196</v>
      </c>
    </row>
    <row r="56" ht="14.25"/>
    <row r="60" ht="14.25"/>
    <row r="215" spans="15:16" ht="15">
      <c r="O215" s="17" t="s">
        <v>48</v>
      </c>
      <c r="P215" s="17" t="s">
        <v>49</v>
      </c>
    </row>
  </sheetData>
  <sheetProtection sheet="1" objects="1" scenarios="1"/>
  <mergeCells count="3">
    <mergeCell ref="B2:I3"/>
    <mergeCell ref="D8:E8"/>
    <mergeCell ref="B53:D53"/>
  </mergeCells>
  <hyperlinks>
    <hyperlink ref="B53" r:id="rId16" display="http://www.irs.gov/uac/Publication-15-(Circular-E),-Employer's-Tax-Guide"/>
    <hyperlink ref="B54" r:id="rId17" display="http://www.tax.ok.gov/"/>
  </hyperlinks>
  <printOptions/>
  <pageMargins left="0.7" right="0.7" top="0.75" bottom="0.75" header="0.3" footer="0.3"/>
  <pageSetup horizontalDpi="600" verticalDpi="600" orientation="portrait" r:id="rId21"/>
  <drawing r:id="rId20"/>
  <legacyDrawing r:id="rId19"/>
  <controls>
    <control shapeId="1043" r:id="rId1" name="cmdHousing"/>
    <control shapeId="1044" r:id="rId2" name="cmdTrans"/>
    <control shapeId="1045" r:id="rId3" name="cmdLivestock"/>
    <control shapeId="1046" r:id="rId4" name="cmdLabor"/>
    <control shapeId="1047" r:id="rId5" name="cmdGraphs"/>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G52"/>
  <sheetViews>
    <sheetView showGridLines="0" workbookViewId="0" topLeftCell="A1"/>
  </sheetViews>
  <sheetFormatPr defaultColWidth="12.57421875" defaultRowHeight="15"/>
  <cols>
    <col min="1" max="1" width="3.7109375" style="23" customWidth="1"/>
    <col min="2" max="2" width="36.421875" style="23" customWidth="1"/>
    <col min="3" max="4" width="12.57421875" style="23" customWidth="1"/>
    <col min="5" max="7" width="13.28125" style="23" customWidth="1"/>
    <col min="8" max="16384" width="12.57421875" style="23" customWidth="1"/>
  </cols>
  <sheetData>
    <row r="1" spans="2:7" ht="17.4">
      <c r="B1" s="98" t="s">
        <v>50</v>
      </c>
      <c r="C1" s="98"/>
      <c r="D1" s="98"/>
      <c r="E1" s="98"/>
      <c r="F1" s="98"/>
      <c r="G1" s="98"/>
    </row>
    <row r="2" spans="2:7" ht="17.4">
      <c r="B2" s="71"/>
      <c r="C2" s="71"/>
      <c r="D2" s="71"/>
      <c r="E2" s="71"/>
      <c r="F2" s="71"/>
      <c r="G2" s="71"/>
    </row>
    <row r="3" spans="2:3" ht="15">
      <c r="B3" s="23" t="s">
        <v>191</v>
      </c>
      <c r="C3" s="75">
        <v>1</v>
      </c>
    </row>
    <row r="5" ht="15.75">
      <c r="B5" s="6" t="s">
        <v>51</v>
      </c>
    </row>
    <row r="6" ht="15"/>
    <row r="7" spans="2:7" ht="15">
      <c r="B7" s="23" t="s">
        <v>54</v>
      </c>
      <c r="E7" s="24" t="s">
        <v>52</v>
      </c>
      <c r="G7" s="24" t="s">
        <v>53</v>
      </c>
    </row>
    <row r="8" spans="2:7" ht="15">
      <c r="B8" s="23" t="s">
        <v>55</v>
      </c>
      <c r="E8" s="24" t="s">
        <v>22</v>
      </c>
      <c r="G8" s="61">
        <v>0</v>
      </c>
    </row>
    <row r="9" spans="2:7" ht="15">
      <c r="B9" s="23" t="s">
        <v>56</v>
      </c>
      <c r="E9" s="24" t="s">
        <v>22</v>
      </c>
      <c r="G9" s="61">
        <v>1000</v>
      </c>
    </row>
    <row r="10" spans="2:7" ht="15">
      <c r="B10" s="23" t="s">
        <v>57</v>
      </c>
      <c r="E10" s="24" t="s">
        <v>22</v>
      </c>
      <c r="G10" s="61">
        <v>1500</v>
      </c>
    </row>
    <row r="11" spans="2:7" ht="15">
      <c r="B11" s="23" t="s">
        <v>58</v>
      </c>
      <c r="E11" s="24" t="s">
        <v>22</v>
      </c>
      <c r="G11" s="61">
        <v>1000</v>
      </c>
    </row>
    <row r="12" spans="2:7" ht="15">
      <c r="B12" s="23" t="s">
        <v>59</v>
      </c>
      <c r="E12" s="24" t="s">
        <v>22</v>
      </c>
      <c r="G12" s="63">
        <v>0</v>
      </c>
    </row>
    <row r="13" spans="2:7" ht="15.75">
      <c r="B13" s="6" t="s">
        <v>60</v>
      </c>
      <c r="C13" s="38"/>
      <c r="D13" s="38"/>
      <c r="E13" s="38"/>
      <c r="F13" s="38"/>
      <c r="G13" s="84">
        <f>SUM(G8:G12)</f>
        <v>3500</v>
      </c>
    </row>
    <row r="14" ht="15">
      <c r="G14" s="34"/>
    </row>
    <row r="15" spans="2:7" ht="15">
      <c r="B15" s="23" t="s">
        <v>61</v>
      </c>
      <c r="G15" s="32"/>
    </row>
    <row r="16" spans="2:7" ht="15">
      <c r="B16" s="23" t="s">
        <v>62</v>
      </c>
      <c r="E16" s="24" t="s">
        <v>23</v>
      </c>
      <c r="F16" s="59">
        <v>0</v>
      </c>
      <c r="G16" s="34">
        <f>(F16*12)</f>
        <v>0</v>
      </c>
    </row>
    <row r="17" spans="2:7" ht="15">
      <c r="B17" s="23" t="s">
        <v>63</v>
      </c>
      <c r="E17" s="24" t="s">
        <v>23</v>
      </c>
      <c r="F17" s="59">
        <v>0</v>
      </c>
      <c r="G17" s="34">
        <f>(F17*12)</f>
        <v>0</v>
      </c>
    </row>
    <row r="18" spans="2:7" ht="15">
      <c r="B18" s="33" t="s">
        <v>64</v>
      </c>
      <c r="G18" s="35">
        <f>(G16+G17)</f>
        <v>0</v>
      </c>
    </row>
    <row r="19" ht="15" hidden="1"/>
    <row r="20" spans="2:7" ht="15.75">
      <c r="B20" s="6" t="s">
        <v>65</v>
      </c>
      <c r="G20" s="10">
        <f>(G13+G18)</f>
        <v>3500</v>
      </c>
    </row>
    <row r="21" ht="15">
      <c r="G21" s="34"/>
    </row>
    <row r="22" spans="2:7" ht="15">
      <c r="B22" s="23" t="s">
        <v>66</v>
      </c>
      <c r="E22" s="24" t="s">
        <v>67</v>
      </c>
      <c r="F22" s="24" t="s">
        <v>68</v>
      </c>
      <c r="G22" s="36" t="s">
        <v>68</v>
      </c>
    </row>
    <row r="23" spans="5:7" ht="15">
      <c r="E23" s="24" t="s">
        <v>69</v>
      </c>
      <c r="F23" s="24" t="s">
        <v>70</v>
      </c>
      <c r="G23" s="36" t="s">
        <v>71</v>
      </c>
    </row>
    <row r="24" spans="2:7" ht="15">
      <c r="B24" s="23" t="s">
        <v>72</v>
      </c>
      <c r="E24" s="61">
        <v>75000</v>
      </c>
      <c r="F24" s="67">
        <v>6</v>
      </c>
      <c r="G24" s="34">
        <f>ROUND((E24*0.5*F24*0.01),2)</f>
        <v>2250</v>
      </c>
    </row>
    <row r="25" ht="15">
      <c r="G25" s="34"/>
    </row>
    <row r="26" spans="6:7" ht="15">
      <c r="F26" s="24" t="s">
        <v>184</v>
      </c>
      <c r="G26" s="36" t="s">
        <v>73</v>
      </c>
    </row>
    <row r="27" spans="6:7" ht="15">
      <c r="F27" s="24" t="s">
        <v>74</v>
      </c>
      <c r="G27" s="36" t="s">
        <v>75</v>
      </c>
    </row>
    <row r="28" spans="2:7" ht="15">
      <c r="B28" s="23" t="s">
        <v>76</v>
      </c>
      <c r="E28" s="34">
        <f>E24</f>
        <v>75000</v>
      </c>
      <c r="F28" s="65">
        <v>30</v>
      </c>
      <c r="G28" s="34">
        <f>IF(F28=0,0,ROUND((E28*(1/F28)),2))</f>
        <v>2500</v>
      </c>
    </row>
    <row r="29" ht="15" hidden="1">
      <c r="G29" s="57"/>
    </row>
    <row r="30" spans="2:7" ht="15.6">
      <c r="B30" s="6" t="s">
        <v>77</v>
      </c>
      <c r="G30" s="85">
        <f>(G24+G28)</f>
        <v>4750</v>
      </c>
    </row>
    <row r="31" ht="15">
      <c r="G31" s="34"/>
    </row>
    <row r="32" spans="2:7" ht="15">
      <c r="B32" s="23" t="s">
        <v>185</v>
      </c>
      <c r="G32" s="34"/>
    </row>
    <row r="33" ht="15">
      <c r="G33" s="34"/>
    </row>
    <row r="34" spans="2:7" ht="15">
      <c r="B34" s="23" t="s">
        <v>186</v>
      </c>
      <c r="F34" s="24" t="s">
        <v>78</v>
      </c>
      <c r="G34" s="36" t="s">
        <v>79</v>
      </c>
    </row>
    <row r="35" spans="2:7" ht="15">
      <c r="B35" s="23" t="s">
        <v>80</v>
      </c>
      <c r="F35" s="59">
        <v>400</v>
      </c>
      <c r="G35" s="34">
        <f>(F35*12)</f>
        <v>4800</v>
      </c>
    </row>
    <row r="36" spans="2:7" ht="15">
      <c r="B36" s="23" t="s">
        <v>81</v>
      </c>
      <c r="F36" s="59">
        <v>0</v>
      </c>
      <c r="G36" s="34">
        <f>(F36*12)</f>
        <v>0</v>
      </c>
    </row>
    <row r="37" spans="6:7" ht="15">
      <c r="F37" s="9"/>
      <c r="G37" s="34"/>
    </row>
    <row r="38" spans="2:7" ht="15">
      <c r="B38" s="37"/>
      <c r="C38" s="37"/>
      <c r="D38" s="37"/>
      <c r="E38" s="37"/>
      <c r="F38" s="37"/>
      <c r="G38" s="37"/>
    </row>
    <row r="39" spans="2:7" ht="15.6">
      <c r="B39" s="99" t="s">
        <v>82</v>
      </c>
      <c r="C39" s="99"/>
      <c r="D39" s="99"/>
      <c r="E39" s="99"/>
      <c r="F39" s="99"/>
      <c r="G39" s="99"/>
    </row>
    <row r="41" spans="2:7" ht="15">
      <c r="B41" s="23" t="s">
        <v>83</v>
      </c>
      <c r="G41" s="34"/>
    </row>
    <row r="42" spans="2:7" ht="15">
      <c r="B42" s="23" t="s">
        <v>84</v>
      </c>
      <c r="G42" s="34"/>
    </row>
    <row r="43" spans="2:7" ht="15">
      <c r="B43" s="23" t="s">
        <v>202</v>
      </c>
      <c r="G43" s="66">
        <v>1</v>
      </c>
    </row>
    <row r="44" ht="15">
      <c r="G44" s="34"/>
    </row>
    <row r="45" spans="2:7" ht="15.6" hidden="1">
      <c r="B45" s="6"/>
      <c r="C45" s="6"/>
      <c r="D45" s="6"/>
      <c r="E45" s="11"/>
      <c r="F45" s="6"/>
      <c r="G45" s="10"/>
    </row>
    <row r="46" spans="2:7" ht="7.5" customHeight="1" hidden="1">
      <c r="B46" s="6"/>
      <c r="C46" s="6"/>
      <c r="D46" s="6"/>
      <c r="E46" s="11"/>
      <c r="F46" s="6"/>
      <c r="G46" s="10"/>
    </row>
    <row r="47" spans="2:7" ht="15.6">
      <c r="B47" s="6" t="s">
        <v>85</v>
      </c>
      <c r="C47" s="6"/>
      <c r="D47" s="6"/>
      <c r="E47" s="11" t="s">
        <v>22</v>
      </c>
      <c r="F47" s="6"/>
      <c r="G47" s="10">
        <f>IF(C3=2,0,IF(G43=1,(G13+G36),(G20)))</f>
        <v>3500</v>
      </c>
    </row>
    <row r="48" spans="2:7" ht="15.6">
      <c r="B48" s="6" t="s">
        <v>86</v>
      </c>
      <c r="C48" s="6"/>
      <c r="D48" s="6"/>
      <c r="E48" s="11" t="s">
        <v>22</v>
      </c>
      <c r="F48" s="6"/>
      <c r="G48" s="12">
        <f>IF(C3=2,0,IF(G43=1,(G35),(G30)))</f>
        <v>4800</v>
      </c>
    </row>
    <row r="49" spans="2:7" ht="6.75" customHeight="1" hidden="1">
      <c r="B49" s="6"/>
      <c r="C49" s="6"/>
      <c r="D49" s="6"/>
      <c r="E49" s="11"/>
      <c r="F49" s="6"/>
      <c r="G49" s="10"/>
    </row>
    <row r="50" spans="2:7" ht="15.6">
      <c r="B50" s="6" t="s">
        <v>87</v>
      </c>
      <c r="C50" s="5"/>
      <c r="D50" s="5"/>
      <c r="E50" s="11" t="s">
        <v>22</v>
      </c>
      <c r="F50" s="5"/>
      <c r="G50" s="10">
        <f>(G47+G48)</f>
        <v>8300</v>
      </c>
    </row>
    <row r="52" spans="2:7" ht="15">
      <c r="B52" s="37"/>
      <c r="C52" s="37"/>
      <c r="D52" s="37"/>
      <c r="E52" s="37"/>
      <c r="F52" s="37"/>
      <c r="G52" s="37"/>
    </row>
  </sheetData>
  <sheetProtection sheet="1" objects="1" scenarios="1"/>
  <mergeCells count="2">
    <mergeCell ref="B1:G1"/>
    <mergeCell ref="B39:G39"/>
  </mergeCells>
  <printOptions/>
  <pageMargins left="0.7" right="0.7" top="0.75" bottom="0.75" header="0.3" footer="0.3"/>
  <pageSetup orientation="portrait" paperSize="9"/>
  <legacyDrawing r:id="rId17"/>
  <controls>
    <control shapeId="24577" r:id="rId1" name="CmdTrans"/>
    <control shapeId="24578" r:id="rId2" name="cmdLivestock"/>
    <control shapeId="24579" r:id="rId13" name="cmdSalary"/>
    <control shapeId="24580" r:id="rId14" name="cmdLabor"/>
    <control shapeId="24581" r:id="rId15" name="cmdGraphs"/>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G79"/>
  <sheetViews>
    <sheetView showGridLines="0" workbookViewId="0" topLeftCell="A1"/>
  </sheetViews>
  <sheetFormatPr defaultColWidth="12.57421875" defaultRowHeight="15"/>
  <cols>
    <col min="1" max="1" width="3.7109375" style="23" customWidth="1"/>
    <col min="2" max="2" width="41.140625" style="23" customWidth="1"/>
    <col min="3" max="3" width="12.57421875" style="23" customWidth="1"/>
    <col min="4" max="4" width="12.8515625" style="23" customWidth="1"/>
    <col min="5" max="5" width="13.7109375" style="23" customWidth="1"/>
    <col min="6" max="6" width="12.57421875" style="23" customWidth="1"/>
    <col min="7" max="7" width="15.28125" style="23" customWidth="1"/>
    <col min="8" max="16384" width="12.57421875" style="23" customWidth="1"/>
  </cols>
  <sheetData>
    <row r="1" spans="2:7" ht="17.4">
      <c r="B1" s="98" t="s">
        <v>88</v>
      </c>
      <c r="C1" s="98"/>
      <c r="D1" s="98"/>
      <c r="E1" s="98"/>
      <c r="F1" s="98"/>
      <c r="G1" s="98"/>
    </row>
    <row r="2" spans="2:7" ht="17.4">
      <c r="B2" s="73"/>
      <c r="C2" s="73"/>
      <c r="D2" s="73"/>
      <c r="E2" s="73"/>
      <c r="F2" s="73"/>
      <c r="G2" s="73"/>
    </row>
    <row r="3" spans="2:7" ht="17.4">
      <c r="B3" s="23" t="s">
        <v>192</v>
      </c>
      <c r="C3" s="75">
        <v>1</v>
      </c>
      <c r="D3" s="73"/>
      <c r="E3" s="73"/>
      <c r="F3" s="73"/>
      <c r="G3" s="73"/>
    </row>
    <row r="5" spans="2:7" ht="15.6">
      <c r="B5" s="6" t="s">
        <v>157</v>
      </c>
      <c r="G5" s="24"/>
    </row>
    <row r="6" spans="2:7" ht="15.6">
      <c r="B6" s="99"/>
      <c r="C6" s="99"/>
      <c r="D6" s="99"/>
      <c r="E6" s="99"/>
      <c r="F6" s="99"/>
      <c r="G6" s="99"/>
    </row>
    <row r="7" spans="2:7" ht="15">
      <c r="B7" s="43" t="s">
        <v>115</v>
      </c>
      <c r="E7" s="24"/>
      <c r="G7" s="24" t="s">
        <v>114</v>
      </c>
    </row>
    <row r="8" spans="2:7" ht="15">
      <c r="B8" s="25"/>
      <c r="D8" s="24" t="s">
        <v>116</v>
      </c>
      <c r="E8" s="24"/>
      <c r="G8" s="24" t="s">
        <v>95</v>
      </c>
    </row>
    <row r="9" spans="2:7" ht="15">
      <c r="B9" s="23" t="s">
        <v>117</v>
      </c>
      <c r="D9" s="24" t="s">
        <v>102</v>
      </c>
      <c r="E9" s="24"/>
      <c r="G9" s="61">
        <v>15000</v>
      </c>
    </row>
    <row r="10" spans="2:7" ht="15">
      <c r="B10" s="23" t="s">
        <v>118</v>
      </c>
      <c r="D10" s="24" t="s">
        <v>119</v>
      </c>
      <c r="E10" s="24"/>
      <c r="G10" s="66">
        <v>150000</v>
      </c>
    </row>
    <row r="11" spans="2:7" ht="15">
      <c r="B11" s="23" t="s">
        <v>120</v>
      </c>
      <c r="D11" s="24" t="s">
        <v>119</v>
      </c>
      <c r="E11" s="24"/>
      <c r="G11" s="66">
        <v>75000</v>
      </c>
    </row>
    <row r="12" spans="2:7" ht="15">
      <c r="B12" s="23" t="s">
        <v>89</v>
      </c>
      <c r="D12" s="24" t="s">
        <v>90</v>
      </c>
      <c r="G12" s="66">
        <v>40000</v>
      </c>
    </row>
    <row r="13" spans="2:7" ht="15">
      <c r="B13" s="23" t="s">
        <v>91</v>
      </c>
      <c r="G13" s="39"/>
    </row>
    <row r="14" spans="2:7" ht="15">
      <c r="B14" s="23" t="s">
        <v>92</v>
      </c>
      <c r="D14" s="24" t="s">
        <v>93</v>
      </c>
      <c r="G14" s="66">
        <v>10</v>
      </c>
    </row>
    <row r="15" spans="2:7" ht="15">
      <c r="B15" s="23" t="s">
        <v>121</v>
      </c>
      <c r="D15" s="24" t="s">
        <v>102</v>
      </c>
      <c r="E15" s="24"/>
      <c r="G15" s="61">
        <v>2500</v>
      </c>
    </row>
    <row r="16" spans="2:7" ht="15">
      <c r="B16" s="23" t="s">
        <v>122</v>
      </c>
      <c r="D16" s="24" t="s">
        <v>119</v>
      </c>
      <c r="E16" s="24"/>
      <c r="G16" s="44">
        <f>G12</f>
        <v>40000</v>
      </c>
    </row>
    <row r="17" spans="2:7" ht="15">
      <c r="B17" s="23" t="s">
        <v>123</v>
      </c>
      <c r="D17" s="24" t="s">
        <v>124</v>
      </c>
      <c r="E17" s="24"/>
      <c r="G17" s="64">
        <v>15</v>
      </c>
    </row>
    <row r="18" spans="2:7" ht="15">
      <c r="B18" s="23" t="s">
        <v>125</v>
      </c>
      <c r="D18" s="24" t="s">
        <v>126</v>
      </c>
      <c r="E18" s="24"/>
      <c r="G18" s="59">
        <v>3.5</v>
      </c>
    </row>
    <row r="19" spans="2:7" ht="15">
      <c r="B19" s="23" t="s">
        <v>127</v>
      </c>
      <c r="D19" s="24" t="s">
        <v>128</v>
      </c>
      <c r="E19" s="24"/>
      <c r="G19" s="67">
        <v>6</v>
      </c>
    </row>
    <row r="20" spans="2:7" ht="15">
      <c r="B20" s="23" t="s">
        <v>129</v>
      </c>
      <c r="D20" s="24" t="s">
        <v>102</v>
      </c>
      <c r="E20" s="24"/>
      <c r="G20" s="59">
        <v>120</v>
      </c>
    </row>
    <row r="21" spans="2:7" ht="15">
      <c r="B21" s="23" t="s">
        <v>130</v>
      </c>
      <c r="D21" s="24" t="s">
        <v>102</v>
      </c>
      <c r="E21" s="24"/>
      <c r="G21" s="59">
        <v>1250</v>
      </c>
    </row>
    <row r="22" spans="2:7" ht="15">
      <c r="B22" s="23" t="s">
        <v>131</v>
      </c>
      <c r="D22" s="24" t="s">
        <v>102</v>
      </c>
      <c r="E22" s="24"/>
      <c r="G22" s="59">
        <v>1000</v>
      </c>
    </row>
    <row r="23" spans="2:7" ht="15">
      <c r="B23" s="23" t="s">
        <v>132</v>
      </c>
      <c r="D23" s="24" t="s">
        <v>119</v>
      </c>
      <c r="E23" s="24"/>
      <c r="G23" s="66">
        <v>25000</v>
      </c>
    </row>
    <row r="24" spans="2:7" ht="15">
      <c r="B24" s="23" t="s">
        <v>133</v>
      </c>
      <c r="D24" s="24" t="s">
        <v>102</v>
      </c>
      <c r="E24" s="24"/>
      <c r="G24" s="59">
        <v>500</v>
      </c>
    </row>
    <row r="25" spans="5:7" ht="15">
      <c r="E25" s="24"/>
      <c r="G25" s="47"/>
    </row>
    <row r="26" spans="2:7" s="50" customFormat="1" ht="15">
      <c r="B26" s="31"/>
      <c r="C26" s="31"/>
      <c r="D26" s="31"/>
      <c r="E26" s="48"/>
      <c r="F26" s="31"/>
      <c r="G26" s="49"/>
    </row>
    <row r="27" spans="2:5" ht="15">
      <c r="B27" s="13" t="s">
        <v>179</v>
      </c>
      <c r="E27" s="24"/>
    </row>
    <row r="28" spans="2:7" ht="15">
      <c r="B28" s="25"/>
      <c r="E28" s="25"/>
      <c r="G28" s="24" t="s">
        <v>94</v>
      </c>
    </row>
    <row r="29" spans="2:7" ht="15">
      <c r="B29" s="23" t="s">
        <v>96</v>
      </c>
      <c r="E29" s="24" t="s">
        <v>52</v>
      </c>
      <c r="G29" s="24" t="s">
        <v>95</v>
      </c>
    </row>
    <row r="30" spans="2:7" ht="15">
      <c r="B30" s="23" t="s">
        <v>97</v>
      </c>
      <c r="E30" s="24" t="s">
        <v>98</v>
      </c>
      <c r="G30" s="40">
        <f>G60</f>
        <v>0.23333333333333334</v>
      </c>
    </row>
    <row r="31" spans="2:7" ht="15">
      <c r="B31" s="23" t="s">
        <v>99</v>
      </c>
      <c r="E31" s="24" t="s">
        <v>98</v>
      </c>
      <c r="G31" s="40">
        <f>G61</f>
        <v>0.04</v>
      </c>
    </row>
    <row r="32" spans="2:7" ht="15">
      <c r="B32" s="23" t="s">
        <v>100</v>
      </c>
      <c r="E32" s="24" t="s">
        <v>98</v>
      </c>
      <c r="G32" s="41">
        <f>G62</f>
        <v>0.0125</v>
      </c>
    </row>
    <row r="33" spans="2:7" ht="15.6">
      <c r="B33" s="6" t="s">
        <v>177</v>
      </c>
      <c r="C33" s="6"/>
      <c r="D33" s="6"/>
      <c r="E33" s="11" t="s">
        <v>98</v>
      </c>
      <c r="F33" s="6"/>
      <c r="G33" s="14">
        <f>SUM(G30:G32)</f>
        <v>0.28583333333333333</v>
      </c>
    </row>
    <row r="34" spans="2:7" ht="15.6">
      <c r="B34" s="38" t="s">
        <v>178</v>
      </c>
      <c r="C34" s="38"/>
      <c r="D34" s="38"/>
      <c r="E34" s="45" t="s">
        <v>102</v>
      </c>
      <c r="F34" s="38"/>
      <c r="G34" s="46">
        <f>ROUND(($G$12*$G$14*0.01*G33),2)</f>
        <v>1143.33</v>
      </c>
    </row>
    <row r="35" spans="5:7" ht="15">
      <c r="E35" s="24"/>
      <c r="G35" s="21"/>
    </row>
    <row r="36" spans="2:7" ht="15">
      <c r="B36" s="23" t="s">
        <v>103</v>
      </c>
      <c r="E36" s="24"/>
      <c r="G36" s="21"/>
    </row>
    <row r="37" spans="2:7" ht="15">
      <c r="B37" s="23" t="s">
        <v>104</v>
      </c>
      <c r="E37" s="24" t="s">
        <v>98</v>
      </c>
      <c r="G37" s="40">
        <f>G67</f>
        <v>0.003</v>
      </c>
    </row>
    <row r="38" spans="2:7" ht="15">
      <c r="B38" s="23" t="s">
        <v>105</v>
      </c>
      <c r="E38" s="24" t="s">
        <v>98</v>
      </c>
      <c r="G38" s="40">
        <f>G68</f>
        <v>0.03125</v>
      </c>
    </row>
    <row r="39" spans="2:7" ht="15">
      <c r="B39" s="23" t="s">
        <v>106</v>
      </c>
      <c r="E39" s="24" t="s">
        <v>98</v>
      </c>
      <c r="G39" s="40">
        <f>G69</f>
        <v>0.0175</v>
      </c>
    </row>
    <row r="40" spans="2:7" ht="15">
      <c r="B40" s="23" t="s">
        <v>107</v>
      </c>
      <c r="E40" s="24" t="s">
        <v>98</v>
      </c>
      <c r="G40" s="41">
        <f>G70</f>
        <v>0.16666666666666669</v>
      </c>
    </row>
    <row r="41" spans="2:7" ht="15.6">
      <c r="B41" s="6" t="s">
        <v>108</v>
      </c>
      <c r="E41" s="11" t="s">
        <v>98</v>
      </c>
      <c r="F41" s="6"/>
      <c r="G41" s="14">
        <f>SUM(G37:G40)</f>
        <v>0.2184166666666667</v>
      </c>
    </row>
    <row r="42" spans="2:7" ht="15.6">
      <c r="B42" s="6" t="s">
        <v>109</v>
      </c>
      <c r="E42" s="11" t="s">
        <v>102</v>
      </c>
      <c r="G42" s="3">
        <f>ROUND(($G$12*$G$14*0.01*G41),2)</f>
        <v>873.67</v>
      </c>
    </row>
    <row r="43" spans="5:7" ht="15">
      <c r="E43" s="24"/>
      <c r="G43" s="21"/>
    </row>
    <row r="44" spans="2:7" ht="15">
      <c r="B44" s="23" t="s">
        <v>110</v>
      </c>
      <c r="E44" s="24"/>
      <c r="F44" s="24" t="s">
        <v>22</v>
      </c>
      <c r="G44" s="59">
        <v>0</v>
      </c>
    </row>
    <row r="45" spans="5:7" ht="15">
      <c r="E45" s="24"/>
      <c r="F45" s="24"/>
      <c r="G45" s="77"/>
    </row>
    <row r="46" spans="2:7" ht="15">
      <c r="B46" s="31"/>
      <c r="C46" s="31"/>
      <c r="D46" s="31"/>
      <c r="E46" s="48"/>
      <c r="F46" s="31"/>
      <c r="G46" s="49"/>
    </row>
    <row r="47" spans="2:7" ht="15.6">
      <c r="B47" s="99" t="s">
        <v>189</v>
      </c>
      <c r="C47" s="99"/>
      <c r="D47" s="99"/>
      <c r="E47" s="99"/>
      <c r="F47" s="99"/>
      <c r="G47" s="99"/>
    </row>
    <row r="48" spans="2:4" ht="15">
      <c r="B48" s="25"/>
      <c r="C48" s="25"/>
      <c r="D48" s="42"/>
    </row>
    <row r="49" spans="2:7" ht="15.6">
      <c r="B49" s="38" t="s">
        <v>111</v>
      </c>
      <c r="E49" s="45" t="s">
        <v>102</v>
      </c>
      <c r="G49" s="46">
        <f>IF(C3=2,0,ROUND((($G$12*$G$14*0.01*(G37+G38))+G34+G44),2))</f>
        <v>1280.33</v>
      </c>
    </row>
    <row r="50" spans="2:7" ht="15.6">
      <c r="B50" s="38" t="s">
        <v>112</v>
      </c>
      <c r="E50" s="45" t="s">
        <v>102</v>
      </c>
      <c r="G50" s="46">
        <f>IF(C3=2,0,($G$12*$G$14*0.01*(G39+G40)))</f>
        <v>736.6666666666669</v>
      </c>
    </row>
    <row r="51" spans="2:7" ht="15.6">
      <c r="B51" s="6" t="s">
        <v>113</v>
      </c>
      <c r="E51" s="11" t="s">
        <v>102</v>
      </c>
      <c r="G51" s="28">
        <f>IF(C3=2,0,(G34+G42+G44))</f>
        <v>2017</v>
      </c>
    </row>
    <row r="52" ht="15">
      <c r="E52" s="24"/>
    </row>
    <row r="53" spans="2:7" ht="15">
      <c r="B53" s="37"/>
      <c r="C53" s="37"/>
      <c r="D53" s="37"/>
      <c r="E53" s="37"/>
      <c r="F53" s="37"/>
      <c r="G53" s="37"/>
    </row>
    <row r="54" spans="2:7" ht="15">
      <c r="B54" s="68"/>
      <c r="C54" s="68"/>
      <c r="D54" s="68"/>
      <c r="E54" s="68"/>
      <c r="F54" s="68"/>
      <c r="G54" s="68"/>
    </row>
    <row r="55" spans="2:7" ht="15.6" hidden="1">
      <c r="B55" s="99" t="s">
        <v>134</v>
      </c>
      <c r="C55" s="99"/>
      <c r="D55" s="99"/>
      <c r="E55" s="99"/>
      <c r="F55" s="99"/>
      <c r="G55" s="99"/>
    </row>
    <row r="56" ht="15" hidden="1">
      <c r="E56" s="24"/>
    </row>
    <row r="57" spans="2:7" ht="15" hidden="1">
      <c r="B57" s="23" t="s">
        <v>135</v>
      </c>
      <c r="D57" s="24" t="s">
        <v>116</v>
      </c>
      <c r="E57" s="24"/>
      <c r="G57" s="24" t="s">
        <v>95</v>
      </c>
    </row>
    <row r="58" spans="2:7" ht="15" hidden="1">
      <c r="B58" s="25"/>
      <c r="D58" s="25"/>
      <c r="E58" s="24"/>
      <c r="G58" s="25"/>
    </row>
    <row r="59" spans="2:5" ht="15" hidden="1">
      <c r="B59" s="23" t="s">
        <v>136</v>
      </c>
      <c r="E59" s="24"/>
    </row>
    <row r="60" spans="2:7" ht="15" hidden="1">
      <c r="B60" s="23" t="s">
        <v>137</v>
      </c>
      <c r="D60" s="24" t="s">
        <v>98</v>
      </c>
      <c r="E60" s="24"/>
      <c r="G60" s="40">
        <f>IF(G17=0,0,G18/G17)</f>
        <v>0.23333333333333334</v>
      </c>
    </row>
    <row r="61" spans="2:7" ht="15" hidden="1">
      <c r="B61" s="23" t="s">
        <v>138</v>
      </c>
      <c r="D61" s="24" t="s">
        <v>98</v>
      </c>
      <c r="E61" s="24"/>
      <c r="G61" s="40">
        <f>IF(G23=0,0,G22/G23)</f>
        <v>0.04</v>
      </c>
    </row>
    <row r="62" spans="2:7" ht="15" hidden="1">
      <c r="B62" s="23" t="s">
        <v>139</v>
      </c>
      <c r="D62" s="24" t="s">
        <v>98</v>
      </c>
      <c r="E62" s="24"/>
      <c r="G62" s="41">
        <f>IF(G16=0,0,G24/G16)</f>
        <v>0.0125</v>
      </c>
    </row>
    <row r="63" spans="2:7" ht="15.6" hidden="1">
      <c r="B63" s="6" t="s">
        <v>140</v>
      </c>
      <c r="C63" s="6"/>
      <c r="D63" s="11" t="s">
        <v>98</v>
      </c>
      <c r="E63" s="11"/>
      <c r="F63" s="6"/>
      <c r="G63" s="3">
        <f>SUM(G60:G62)</f>
        <v>0.28583333333333333</v>
      </c>
    </row>
    <row r="64" ht="15" hidden="1"/>
    <row r="65" spans="2:7" ht="15" hidden="1">
      <c r="B65" s="23" t="s">
        <v>101</v>
      </c>
      <c r="D65" s="24" t="s">
        <v>102</v>
      </c>
      <c r="E65" s="24"/>
      <c r="G65" s="21">
        <f>(G63*G16)</f>
        <v>11433.333333333334</v>
      </c>
    </row>
    <row r="66" spans="2:5" ht="15" hidden="1">
      <c r="B66" s="23" t="s">
        <v>103</v>
      </c>
      <c r="E66" s="24"/>
    </row>
    <row r="67" spans="2:7" ht="15" hidden="1">
      <c r="B67" s="23" t="s">
        <v>104</v>
      </c>
      <c r="D67" s="24" t="s">
        <v>98</v>
      </c>
      <c r="E67" s="24"/>
      <c r="G67" s="40">
        <f>IF(G16=0,0,G20/G16)</f>
        <v>0.003</v>
      </c>
    </row>
    <row r="68" spans="2:7" ht="15" hidden="1">
      <c r="B68" s="23" t="s">
        <v>105</v>
      </c>
      <c r="D68" s="24" t="s">
        <v>98</v>
      </c>
      <c r="E68" s="24"/>
      <c r="G68" s="40">
        <f>IF(G16=0,0,G21/G16)</f>
        <v>0.03125</v>
      </c>
    </row>
    <row r="69" spans="2:7" ht="15" hidden="1">
      <c r="B69" s="23" t="s">
        <v>106</v>
      </c>
      <c r="D69" s="24" t="s">
        <v>98</v>
      </c>
      <c r="E69" s="24"/>
      <c r="G69" s="40">
        <f>IF(G16=0,0,(G9-(((G9-G15)*(G16/(G10-G11))/2)))*G19*0.01/G16)</f>
        <v>0.0175</v>
      </c>
    </row>
    <row r="70" spans="2:7" ht="15" hidden="1">
      <c r="B70" s="23" t="s">
        <v>107</v>
      </c>
      <c r="D70" s="24" t="s">
        <v>98</v>
      </c>
      <c r="E70" s="24"/>
      <c r="G70" s="40">
        <f>IF(G16=0,0,((G9-G15)*G16/(G10-G11))/G16)</f>
        <v>0.16666666666666669</v>
      </c>
    </row>
    <row r="71" spans="2:7" ht="15.6" hidden="1">
      <c r="B71" s="6" t="s">
        <v>108</v>
      </c>
      <c r="C71" s="6"/>
      <c r="D71" s="11" t="s">
        <v>98</v>
      </c>
      <c r="E71" s="11"/>
      <c r="F71" s="6"/>
      <c r="G71" s="3">
        <f>SUM(G67:G70)</f>
        <v>0.2184166666666667</v>
      </c>
    </row>
    <row r="72" spans="2:7" ht="15.6" hidden="1">
      <c r="B72" s="6" t="s">
        <v>109</v>
      </c>
      <c r="D72" s="11" t="s">
        <v>102</v>
      </c>
      <c r="E72" s="11"/>
      <c r="F72" s="6"/>
      <c r="G72" s="3">
        <f>(G71*G16)</f>
        <v>8736.666666666668</v>
      </c>
    </row>
    <row r="73" ht="15" hidden="1">
      <c r="E73" s="24"/>
    </row>
    <row r="74" spans="2:7" ht="15.6" hidden="1">
      <c r="B74" s="6" t="s">
        <v>141</v>
      </c>
      <c r="C74" s="6"/>
      <c r="D74" s="11" t="s">
        <v>98</v>
      </c>
      <c r="E74" s="11"/>
      <c r="F74" s="6"/>
      <c r="G74" s="3">
        <f>IF(G16=0,0,((G65+G72)/G16))</f>
        <v>0.50425</v>
      </c>
    </row>
    <row r="75" spans="2:7" ht="15.6" hidden="1">
      <c r="B75" s="6" t="s">
        <v>113</v>
      </c>
      <c r="C75" s="6"/>
      <c r="D75" s="11" t="s">
        <v>102</v>
      </c>
      <c r="E75" s="11"/>
      <c r="F75" s="6"/>
      <c r="G75" s="3">
        <f>(G65+G72)</f>
        <v>20170</v>
      </c>
    </row>
    <row r="76" spans="2:7" ht="15" hidden="1">
      <c r="B76" s="100"/>
      <c r="C76" s="100"/>
      <c r="D76" s="100"/>
      <c r="E76" s="100"/>
      <c r="F76" s="100"/>
      <c r="G76" s="100"/>
    </row>
    <row r="77" spans="2:7" ht="15.6" hidden="1">
      <c r="B77" s="6" t="s">
        <v>142</v>
      </c>
      <c r="C77" s="6"/>
      <c r="D77" s="11" t="s">
        <v>98</v>
      </c>
      <c r="E77" s="11"/>
      <c r="F77" s="6"/>
      <c r="G77" s="3">
        <f>IF(G16=0,0,G78/G16)</f>
        <v>0.32008333333333333</v>
      </c>
    </row>
    <row r="78" spans="2:7" ht="15.6" hidden="1">
      <c r="B78" s="6" t="s">
        <v>143</v>
      </c>
      <c r="C78" s="6"/>
      <c r="D78" s="11" t="s">
        <v>102</v>
      </c>
      <c r="E78" s="11"/>
      <c r="F78" s="6"/>
      <c r="G78" s="3">
        <f>(G65+G20+G21)</f>
        <v>12803.333333333334</v>
      </c>
    </row>
    <row r="79" ht="15">
      <c r="G79" s="21" t="s">
        <v>144</v>
      </c>
    </row>
  </sheetData>
  <sheetProtection sheet="1" objects="1" scenarios="1"/>
  <mergeCells count="5">
    <mergeCell ref="B1:G1"/>
    <mergeCell ref="B6:G6"/>
    <mergeCell ref="B55:G55"/>
    <mergeCell ref="B76:G76"/>
    <mergeCell ref="B47:G47"/>
  </mergeCells>
  <printOptions/>
  <pageMargins left="0.7" right="0.7" top="0.75" bottom="0.75" header="0.3" footer="0.3"/>
  <pageSetup orientation="portrait" paperSize="9"/>
  <legacyDrawing r:id="rId17"/>
  <controls>
    <control shapeId="25601" r:id="rId1" name="cmdHousing"/>
    <control shapeId="25602" r:id="rId2" name="cmdSalary"/>
    <control shapeId="25603" r:id="rId13" name="cmdLivestock"/>
    <control shapeId="25604" r:id="rId14" name="cmdLabor"/>
    <control shapeId="25605" r:id="rId15" name="cmdGraphs"/>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G14"/>
  <sheetViews>
    <sheetView showGridLines="0" workbookViewId="0" topLeftCell="A1"/>
  </sheetViews>
  <sheetFormatPr defaultColWidth="12.57421875" defaultRowHeight="15"/>
  <cols>
    <col min="1" max="1" width="3.7109375" style="1" customWidth="1"/>
    <col min="2" max="2" width="34.421875" style="1" customWidth="1"/>
    <col min="3" max="3" width="12.8515625" style="1" customWidth="1"/>
    <col min="4" max="16384" width="12.57421875" style="1" customWidth="1"/>
  </cols>
  <sheetData>
    <row r="1" spans="2:7" ht="17.4">
      <c r="B1" s="101" t="s">
        <v>145</v>
      </c>
      <c r="C1" s="101"/>
      <c r="D1" s="101"/>
      <c r="E1" s="101"/>
      <c r="F1" s="101"/>
      <c r="G1" s="101"/>
    </row>
    <row r="3" spans="2:7" ht="15.6">
      <c r="B3" s="6" t="s">
        <v>146</v>
      </c>
      <c r="C3" s="23"/>
      <c r="D3" s="23"/>
      <c r="E3" s="23"/>
      <c r="F3" s="23"/>
      <c r="G3" s="23"/>
    </row>
    <row r="4" spans="2:7" ht="15.6">
      <c r="B4" s="23"/>
      <c r="C4" s="23"/>
      <c r="D4" s="23"/>
      <c r="E4" s="23"/>
      <c r="F4" s="23"/>
      <c r="G4" s="23"/>
    </row>
    <row r="5" spans="2:7" ht="15.6">
      <c r="B5" s="21" t="s">
        <v>111</v>
      </c>
      <c r="C5" s="21"/>
      <c r="D5" s="21"/>
      <c r="E5" s="22" t="s">
        <v>102</v>
      </c>
      <c r="F5" s="21"/>
      <c r="G5" s="59">
        <v>0</v>
      </c>
    </row>
    <row r="6" spans="2:7" ht="15.6">
      <c r="B6" s="21"/>
      <c r="C6" s="21"/>
      <c r="D6" s="21"/>
      <c r="E6" s="21"/>
      <c r="F6" s="21"/>
      <c r="G6" s="9"/>
    </row>
    <row r="7" spans="2:7" ht="15.6">
      <c r="B7" s="21" t="s">
        <v>158</v>
      </c>
      <c r="C7" s="21"/>
      <c r="D7" s="21"/>
      <c r="E7" s="22" t="s">
        <v>102</v>
      </c>
      <c r="F7" s="21"/>
      <c r="G7" s="69">
        <v>0</v>
      </c>
    </row>
    <row r="8" spans="2:7" ht="15.6">
      <c r="B8" s="21"/>
      <c r="C8" s="21"/>
      <c r="D8" s="21"/>
      <c r="E8" s="21"/>
      <c r="F8" s="21"/>
      <c r="G8" s="9"/>
    </row>
    <row r="9" spans="2:7" ht="15.6">
      <c r="B9" s="3" t="s">
        <v>147</v>
      </c>
      <c r="C9" s="3"/>
      <c r="D9" s="3"/>
      <c r="E9" s="15" t="s">
        <v>102</v>
      </c>
      <c r="F9" s="3"/>
      <c r="G9" s="3">
        <f>(G5+G7)</f>
        <v>0</v>
      </c>
    </row>
    <row r="10" spans="2:7" ht="15.6">
      <c r="B10" s="23"/>
      <c r="C10" s="23"/>
      <c r="D10" s="23"/>
      <c r="E10" s="23"/>
      <c r="F10" s="23"/>
      <c r="G10" s="23"/>
    </row>
    <row r="11" spans="2:7" ht="15.75">
      <c r="B11" s="102" t="s">
        <v>148</v>
      </c>
      <c r="C11" s="102"/>
      <c r="D11" s="21"/>
      <c r="E11" s="22" t="s">
        <v>102</v>
      </c>
      <c r="F11" s="21"/>
      <c r="G11" s="59">
        <v>0</v>
      </c>
    </row>
    <row r="12" spans="2:7" ht="15.75">
      <c r="B12" s="100"/>
      <c r="C12" s="100"/>
      <c r="D12" s="100"/>
      <c r="E12" s="100"/>
      <c r="F12" s="100"/>
      <c r="G12" s="100"/>
    </row>
    <row r="13" spans="2:7" ht="15.75">
      <c r="B13" s="31"/>
      <c r="C13" s="31"/>
      <c r="D13" s="31"/>
      <c r="E13" s="31"/>
      <c r="F13" s="31"/>
      <c r="G13" s="31"/>
    </row>
    <row r="14" spans="2:7" ht="15.75">
      <c r="B14" s="103" t="s">
        <v>203</v>
      </c>
      <c r="C14" s="103"/>
      <c r="D14" s="23"/>
      <c r="E14" s="23"/>
      <c r="F14" s="23"/>
      <c r="G14" s="23"/>
    </row>
    <row r="17" ht="15"/>
    <row r="18" ht="15"/>
    <row r="22" ht="15"/>
  </sheetData>
  <sheetProtection sheet="1" objects="1" scenarios="1"/>
  <mergeCells count="4">
    <mergeCell ref="B1:G1"/>
    <mergeCell ref="B12:G12"/>
    <mergeCell ref="B11:C11"/>
    <mergeCell ref="B14:C14"/>
  </mergeCells>
  <hyperlinks>
    <hyperlink ref="B14" r:id="rId16" display="http://pods.dasnr.okstate.edu/docushare/dsweb/Get/Document-8705/CR-216web12-13.pdf"/>
  </hyperlinks>
  <printOptions/>
  <pageMargins left="0.7" right="0.7" top="0.75" bottom="0.75" header="0.3" footer="0.3"/>
  <pageSetup horizontalDpi="600" verticalDpi="600" orientation="portrait" r:id="rId19"/>
  <legacyDrawing r:id="rId18"/>
  <controls>
    <control shapeId="26625" r:id="rId1" name="cmdHousing"/>
    <control shapeId="26626" r:id="rId2" name="cmdTrans"/>
    <control shapeId="26627" r:id="rId3" name="cmdSalary"/>
    <control shapeId="26628" r:id="rId4" name="cmdLabor"/>
    <control shapeId="26629" r:id="rId15" name="cmdGraphs"/>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P59"/>
  <sheetViews>
    <sheetView showGridLines="0" workbookViewId="0" topLeftCell="A1"/>
  </sheetViews>
  <sheetFormatPr defaultColWidth="12.57421875" defaultRowHeight="15"/>
  <cols>
    <col min="1" max="1" width="3.7109375" style="23" customWidth="1"/>
    <col min="2" max="2" width="34.421875" style="23" customWidth="1"/>
    <col min="3" max="5" width="12.57421875" style="23" customWidth="1"/>
    <col min="6" max="6" width="6.140625" style="23" customWidth="1"/>
    <col min="7" max="8" width="13.421875" style="23" customWidth="1"/>
    <col min="9" max="15" width="12.57421875" style="23" customWidth="1"/>
    <col min="16" max="16" width="12.57421875" style="23" hidden="1" customWidth="1"/>
    <col min="17" max="16384" width="12.57421875" style="23" customWidth="1"/>
  </cols>
  <sheetData>
    <row r="1" spans="2:8" ht="17.4">
      <c r="B1" s="98" t="s">
        <v>149</v>
      </c>
      <c r="C1" s="98"/>
      <c r="D1" s="98"/>
      <c r="E1" s="98"/>
      <c r="F1" s="98"/>
      <c r="G1" s="98"/>
      <c r="H1" s="98"/>
    </row>
    <row r="3" ht="15"/>
    <row r="4" spans="7:16" ht="15.6">
      <c r="G4" s="38"/>
      <c r="H4" s="45"/>
      <c r="I4" s="81" t="s">
        <v>150</v>
      </c>
      <c r="P4" s="23" t="str">
        <f>IF(SalaryBenefits!D11=1," $/Acre","$/Head")</f>
        <v xml:space="preserve"> $/Acre</v>
      </c>
    </row>
    <row r="5" spans="2:16" ht="15.6">
      <c r="B5" s="6" t="s">
        <v>151</v>
      </c>
      <c r="G5" s="45" t="s">
        <v>22</v>
      </c>
      <c r="H5" s="45" t="str">
        <f>+P4</f>
        <v xml:space="preserve"> $/Acre</v>
      </c>
      <c r="I5" s="45" t="s">
        <v>21</v>
      </c>
      <c r="P5" s="23" t="str">
        <f>IF(SalaryBenefits!D11=1," Per Acre","Per Head")</f>
        <v xml:space="preserve"> Per Acre</v>
      </c>
    </row>
    <row r="6" spans="2:9" ht="15.6">
      <c r="B6" s="6" t="s">
        <v>28</v>
      </c>
      <c r="C6" s="6"/>
      <c r="D6" s="6"/>
      <c r="E6" s="6"/>
      <c r="F6" s="6"/>
      <c r="G6" s="10">
        <f>SalaryBenefits!G22</f>
        <v>31000</v>
      </c>
      <c r="H6" s="6">
        <f>+G6/SalaryBenefits!$D$10</f>
        <v>31</v>
      </c>
      <c r="I6" s="16">
        <f>ROUND((G6/$G$35)*100,2)</f>
        <v>65.64</v>
      </c>
    </row>
    <row r="7" spans="7:9" ht="15">
      <c r="G7" s="34"/>
      <c r="I7" s="51"/>
    </row>
    <row r="8" spans="2:9" ht="15.6">
      <c r="B8" s="6" t="s">
        <v>197</v>
      </c>
      <c r="G8" s="34"/>
      <c r="I8" s="51"/>
    </row>
    <row r="9" spans="2:9" ht="15">
      <c r="B9" s="23" t="s">
        <v>201</v>
      </c>
      <c r="G9" s="34">
        <f>+SalaryBenefits!G32</f>
        <v>4913.5</v>
      </c>
      <c r="H9" s="33">
        <f>+G9/SalaryBenefits!$D$10</f>
        <v>4.9135</v>
      </c>
      <c r="I9" s="51"/>
    </row>
    <row r="10" spans="2:9" ht="15">
      <c r="B10" s="23" t="s">
        <v>152</v>
      </c>
      <c r="G10" s="34">
        <f>+SalaryBenefits!G39</f>
        <v>7570</v>
      </c>
      <c r="H10" s="33">
        <f>+G10/SalaryBenefits!$D$10</f>
        <v>7.57</v>
      </c>
      <c r="I10" s="51"/>
    </row>
    <row r="11" spans="2:9" ht="15">
      <c r="B11" s="23" t="s">
        <v>46</v>
      </c>
      <c r="G11" s="52">
        <f>+SalaryBenefits!G47</f>
        <v>1000</v>
      </c>
      <c r="H11" s="33">
        <f>+G11/SalaryBenefits!$D$10</f>
        <v>1</v>
      </c>
      <c r="I11" s="51"/>
    </row>
    <row r="12" spans="2:9" ht="15.6">
      <c r="B12" s="6" t="s">
        <v>153</v>
      </c>
      <c r="C12" s="6"/>
      <c r="D12" s="6"/>
      <c r="E12" s="6"/>
      <c r="F12" s="6"/>
      <c r="G12" s="10">
        <f>SalaryBenefits!G49</f>
        <v>13483.5</v>
      </c>
      <c r="H12" s="82">
        <f>+G12/SalaryBenefits!$D$10</f>
        <v>13.4835</v>
      </c>
      <c r="I12" s="16">
        <f>ROUND((G12/$G$35)*100,2)</f>
        <v>28.55</v>
      </c>
    </row>
    <row r="13" spans="7:9" ht="15">
      <c r="G13" s="34"/>
      <c r="I13" s="51"/>
    </row>
    <row r="14" spans="2:9" ht="15.6">
      <c r="B14" s="6" t="s">
        <v>51</v>
      </c>
      <c r="G14" s="34"/>
      <c r="I14" s="51"/>
    </row>
    <row r="15" spans="2:9" ht="15" hidden="1">
      <c r="B15" s="105" t="s">
        <v>187</v>
      </c>
      <c r="C15" s="105"/>
      <c r="D15" s="105"/>
      <c r="G15" s="34">
        <f>Housing!G45</f>
        <v>0</v>
      </c>
      <c r="H15" s="33">
        <f>+G15/SalaryBenefits!$D$10</f>
        <v>0</v>
      </c>
      <c r="I15" s="51"/>
    </row>
    <row r="16" spans="2:9" ht="15">
      <c r="B16" s="23" t="s">
        <v>154</v>
      </c>
      <c r="G16" s="34">
        <f>Housing!G47</f>
        <v>3500</v>
      </c>
      <c r="H16" s="33">
        <f>+G16/SalaryBenefits!$D$10</f>
        <v>3.5</v>
      </c>
      <c r="I16" s="51"/>
    </row>
    <row r="17" spans="2:9" ht="15">
      <c r="B17" s="23" t="s">
        <v>155</v>
      </c>
      <c r="G17" s="52">
        <f>Housing!G48</f>
        <v>4800</v>
      </c>
      <c r="H17" s="33">
        <f>+G17/SalaryBenefits!$D$10</f>
        <v>4.8</v>
      </c>
      <c r="I17" s="51"/>
    </row>
    <row r="18" spans="2:9" ht="15.6">
      <c r="B18" s="6" t="s">
        <v>156</v>
      </c>
      <c r="C18" s="6"/>
      <c r="D18" s="6"/>
      <c r="E18" s="6"/>
      <c r="F18" s="6"/>
      <c r="G18" s="10">
        <f>Housing!G50</f>
        <v>8300</v>
      </c>
      <c r="H18" s="82">
        <f>+G18/SalaryBenefits!$D$10</f>
        <v>8.3</v>
      </c>
      <c r="I18" s="16">
        <f>ROUND((G18/$G$35)*100,2)</f>
        <v>17.57</v>
      </c>
    </row>
    <row r="19" spans="7:9" ht="15">
      <c r="G19" s="34"/>
      <c r="I19" s="51"/>
    </row>
    <row r="20" spans="2:9" ht="15.6">
      <c r="B20" s="6" t="s">
        <v>157</v>
      </c>
      <c r="G20" s="34"/>
      <c r="I20" s="51"/>
    </row>
    <row r="21" spans="2:9" ht="15">
      <c r="B21" s="23" t="s">
        <v>111</v>
      </c>
      <c r="G21" s="34">
        <f>Transportation!G49</f>
        <v>1280.33</v>
      </c>
      <c r="H21" s="33">
        <f>+G21/SalaryBenefits!$D$10</f>
        <v>1.28033</v>
      </c>
      <c r="I21" s="51"/>
    </row>
    <row r="22" spans="2:9" ht="15">
      <c r="B22" s="23" t="s">
        <v>158</v>
      </c>
      <c r="G22" s="52">
        <f>Transportation!G50</f>
        <v>736.6666666666669</v>
      </c>
      <c r="H22" s="33">
        <f>+G22/SalaryBenefits!$D$10</f>
        <v>0.7366666666666668</v>
      </c>
      <c r="I22" s="51"/>
    </row>
    <row r="23" spans="2:9" ht="15.6">
      <c r="B23" s="6" t="s">
        <v>159</v>
      </c>
      <c r="C23" s="6"/>
      <c r="D23" s="6"/>
      <c r="E23" s="6"/>
      <c r="F23" s="6"/>
      <c r="G23" s="10">
        <f>Transportation!G51</f>
        <v>2017</v>
      </c>
      <c r="H23" s="82">
        <f>+G23/SalaryBenefits!$D$10</f>
        <v>2.017</v>
      </c>
      <c r="I23" s="16">
        <f>ROUND((G23/$G$35)*100,2)</f>
        <v>4.27</v>
      </c>
    </row>
    <row r="24" spans="7:9" ht="15">
      <c r="G24" s="34"/>
      <c r="I24" s="51"/>
    </row>
    <row r="25" spans="2:9" ht="15.6">
      <c r="B25" s="6" t="s">
        <v>146</v>
      </c>
      <c r="G25" s="34"/>
      <c r="I25" s="51"/>
    </row>
    <row r="26" spans="2:9" ht="15">
      <c r="B26" s="23" t="s">
        <v>111</v>
      </c>
      <c r="G26" s="34">
        <f>+Livestock!G5</f>
        <v>0</v>
      </c>
      <c r="H26" s="33">
        <f>+G26/SalaryBenefits!$D$10</f>
        <v>0</v>
      </c>
      <c r="I26" s="51"/>
    </row>
    <row r="27" spans="2:9" ht="15">
      <c r="B27" s="23" t="s">
        <v>160</v>
      </c>
      <c r="G27" s="52">
        <f>+Livestock!G7</f>
        <v>0</v>
      </c>
      <c r="H27" s="33">
        <f>+G27/SalaryBenefits!$D$10</f>
        <v>0</v>
      </c>
      <c r="I27" s="51"/>
    </row>
    <row r="28" spans="2:9" ht="15.6">
      <c r="B28" s="6" t="s">
        <v>159</v>
      </c>
      <c r="C28" s="6"/>
      <c r="D28" s="6"/>
      <c r="E28" s="6"/>
      <c r="F28" s="6"/>
      <c r="G28" s="10">
        <f>(G26+G27)</f>
        <v>0</v>
      </c>
      <c r="H28" s="83">
        <f>+G28/SalaryBenefits!$D$10</f>
        <v>0</v>
      </c>
      <c r="I28" s="16">
        <f>ROUND((G28/$G$35)*100,2)</f>
        <v>0</v>
      </c>
    </row>
    <row r="29" spans="7:9" ht="15">
      <c r="G29" s="34"/>
      <c r="I29" s="51"/>
    </row>
    <row r="30" spans="2:9" ht="15">
      <c r="B30" s="31"/>
      <c r="C30" s="31"/>
      <c r="D30" s="31"/>
      <c r="E30" s="31"/>
      <c r="F30" s="31"/>
      <c r="G30" s="57"/>
      <c r="H30" s="31"/>
      <c r="I30" s="58"/>
    </row>
    <row r="31" spans="2:9" ht="15.6">
      <c r="B31" s="99" t="s">
        <v>180</v>
      </c>
      <c r="C31" s="104"/>
      <c r="D31" s="104"/>
      <c r="E31" s="104"/>
      <c r="F31" s="104"/>
      <c r="G31" s="104"/>
      <c r="H31" s="104"/>
      <c r="I31" s="104"/>
    </row>
    <row r="32" spans="7:9" ht="15">
      <c r="G32" s="34"/>
      <c r="I32" s="51"/>
    </row>
    <row r="33" spans="2:9" ht="15.6">
      <c r="B33" s="38" t="s">
        <v>111</v>
      </c>
      <c r="C33" s="38"/>
      <c r="D33" s="38"/>
      <c r="E33" s="38"/>
      <c r="F33" s="38"/>
      <c r="G33" s="54">
        <f>(G6+G9+G16+G21+G26)</f>
        <v>40693.83</v>
      </c>
      <c r="I33" s="55"/>
    </row>
    <row r="34" spans="2:9" ht="15.6">
      <c r="B34" s="38" t="s">
        <v>158</v>
      </c>
      <c r="C34" s="38"/>
      <c r="D34" s="38"/>
      <c r="E34" s="38"/>
      <c r="F34" s="38"/>
      <c r="G34" s="56">
        <f>(G11+G17+G22+G27)</f>
        <v>6536.666666666667</v>
      </c>
      <c r="I34" s="55"/>
    </row>
    <row r="35" spans="2:9" ht="15.6">
      <c r="B35" s="38" t="s">
        <v>113</v>
      </c>
      <c r="C35" s="38"/>
      <c r="D35" s="38"/>
      <c r="E35" s="38"/>
      <c r="F35" s="38"/>
      <c r="G35" s="54">
        <f>(G33+G34)</f>
        <v>47230.496666666666</v>
      </c>
      <c r="I35" s="55">
        <f>ROUND((G35/$G$35)*100,2)</f>
        <v>100</v>
      </c>
    </row>
    <row r="36" spans="2:9" ht="15.6">
      <c r="B36" s="38"/>
      <c r="C36" s="38"/>
      <c r="D36" s="38"/>
      <c r="E36" s="38"/>
      <c r="F36" s="38"/>
      <c r="G36" s="54"/>
      <c r="I36" s="55"/>
    </row>
    <row r="37" spans="2:9" ht="15.6" hidden="1">
      <c r="B37" s="38" t="s">
        <v>161</v>
      </c>
      <c r="C37" s="38"/>
      <c r="D37" s="38"/>
      <c r="E37" s="38"/>
      <c r="F37" s="38"/>
      <c r="G37" s="54">
        <f>(G6+G9+G15+G21+G26)</f>
        <v>37193.83</v>
      </c>
      <c r="I37" s="55"/>
    </row>
    <row r="38" spans="7:9" ht="15" hidden="1">
      <c r="G38" s="21"/>
      <c r="I38" s="51"/>
    </row>
    <row r="39" spans="2:9" ht="15">
      <c r="B39" s="23" t="s">
        <v>162</v>
      </c>
      <c r="E39" s="24" t="s">
        <v>163</v>
      </c>
      <c r="G39" s="70">
        <f>50*5.5</f>
        <v>275</v>
      </c>
      <c r="I39" s="51"/>
    </row>
    <row r="40" spans="2:9" ht="15">
      <c r="B40" s="23" t="s">
        <v>164</v>
      </c>
      <c r="E40" s="24" t="s">
        <v>165</v>
      </c>
      <c r="G40" s="64">
        <v>9</v>
      </c>
      <c r="I40" s="51"/>
    </row>
    <row r="41" spans="2:9" ht="15">
      <c r="B41" s="23" t="s">
        <v>181</v>
      </c>
      <c r="E41" s="24" t="s">
        <v>166</v>
      </c>
      <c r="G41" s="44">
        <f>(G39*G40)</f>
        <v>2475</v>
      </c>
      <c r="I41" s="51"/>
    </row>
    <row r="42" spans="7:9" ht="15">
      <c r="G42" s="34"/>
      <c r="I42" s="51"/>
    </row>
    <row r="43" spans="2:9" ht="15">
      <c r="B43" s="23" t="s">
        <v>167</v>
      </c>
      <c r="E43" s="24" t="s">
        <v>166</v>
      </c>
      <c r="G43" s="53">
        <f>+SalaryBenefits!F20</f>
        <v>0</v>
      </c>
      <c r="I43" s="51"/>
    </row>
    <row r="44" spans="2:9" ht="15">
      <c r="B44" s="23" t="s">
        <v>168</v>
      </c>
      <c r="E44" s="24" t="s">
        <v>166</v>
      </c>
      <c r="G44" s="44">
        <f>(G41+G43)</f>
        <v>2475</v>
      </c>
      <c r="I44" s="51"/>
    </row>
    <row r="45" spans="7:9" ht="15">
      <c r="G45" s="21"/>
      <c r="I45" s="51"/>
    </row>
    <row r="46" spans="5:9" ht="15">
      <c r="E46" s="24" t="s">
        <v>188</v>
      </c>
      <c r="G46" s="26" t="s">
        <v>169</v>
      </c>
      <c r="H46" s="24" t="str">
        <f>+P5</f>
        <v xml:space="preserve"> Per Acre</v>
      </c>
      <c r="I46" s="51"/>
    </row>
    <row r="47" spans="2:9" ht="15">
      <c r="B47" s="23" t="s">
        <v>170</v>
      </c>
      <c r="E47" s="21">
        <f>ROUND((G33/($G$44/$G$40)),2)</f>
        <v>147.98</v>
      </c>
      <c r="G47" s="21">
        <f>ROUND((G33/($G$44)),2)</f>
        <v>16.44</v>
      </c>
      <c r="H47" s="33">
        <f>+G33/SalaryBenefits!$D$10</f>
        <v>40.69383</v>
      </c>
      <c r="I47" s="51"/>
    </row>
    <row r="48" spans="2:9" ht="15">
      <c r="B48" s="23" t="s">
        <v>171</v>
      </c>
      <c r="E48" s="27">
        <f>ROUND((G34/($G$44/$G$40)),2)</f>
        <v>23.77</v>
      </c>
      <c r="G48" s="27">
        <f>ROUND((G34/($G$44)),2)</f>
        <v>2.64</v>
      </c>
      <c r="H48" s="33">
        <f>+G34/SalaryBenefits!$D$10</f>
        <v>6.536666666666667</v>
      </c>
      <c r="I48" s="51"/>
    </row>
    <row r="49" spans="2:9" ht="15">
      <c r="B49" s="23" t="s">
        <v>172</v>
      </c>
      <c r="E49" s="21">
        <f>ROUND((G35/($G$44/$G$40)),2)</f>
        <v>171.75</v>
      </c>
      <c r="G49" s="21">
        <f>ROUND((G35/($G$44)),2)</f>
        <v>19.08</v>
      </c>
      <c r="H49" s="83">
        <f>+G35/SalaryBenefits!$D$10</f>
        <v>47.23049666666667</v>
      </c>
      <c r="I49" s="51"/>
    </row>
    <row r="50" spans="5:9" ht="15">
      <c r="E50" s="21"/>
      <c r="G50" s="21"/>
      <c r="I50" s="51"/>
    </row>
    <row r="51" spans="2:8" ht="15" hidden="1">
      <c r="B51" s="23" t="s">
        <v>173</v>
      </c>
      <c r="E51" s="21">
        <f>ROUND((G37/($G$44/$G$40)),2)</f>
        <v>135.25</v>
      </c>
      <c r="G51" s="21">
        <f>ROUND((G37/($G$44)),2)</f>
        <v>15.03</v>
      </c>
      <c r="H51" s="33">
        <f>+G37/SalaryBenefits!$D$10</f>
        <v>37.19383</v>
      </c>
    </row>
    <row r="52" ht="15" hidden="1">
      <c r="G52" s="21"/>
    </row>
    <row r="53" spans="2:7" ht="15">
      <c r="B53" s="23" t="s">
        <v>174</v>
      </c>
      <c r="E53" s="24" t="s">
        <v>102</v>
      </c>
      <c r="G53" s="34">
        <f>(SalaryBenefits!G22+SalaryBenefits!G37+SalaryBenefits!G38+SalaryBenefits!G47+Housing!G13+Housing!G35+Housing!G36+Transportation!G51+Livestock!G9+Livestock!G11+SalaryBenefits!G29)</f>
        <v>47717</v>
      </c>
    </row>
    <row r="54" spans="2:7" ht="15">
      <c r="B54" s="23" t="s">
        <v>175</v>
      </c>
      <c r="E54" s="24" t="s">
        <v>102</v>
      </c>
      <c r="G54" s="34">
        <f>ROUND((SalaryBenefits!G22+SalaryBenefits!G49+Housing!G13+Housing!G36+Transportation!G51-(Transportation!G12*Transportation!G14*0.01*Transportation!G39)+Livestock!G9-Livestock!G11)+(IF(Housing!G43=1,Housing!G35,(Housing!G28+Housing!G17))),2)</f>
        <v>54730.5</v>
      </c>
    </row>
    <row r="55" spans="2:7" ht="15">
      <c r="B55" s="25"/>
      <c r="C55" s="25"/>
      <c r="D55" s="25"/>
      <c r="E55" s="25"/>
      <c r="F55" s="25"/>
      <c r="G55" s="25"/>
    </row>
    <row r="56" spans="2:9" ht="15">
      <c r="B56" s="37"/>
      <c r="C56" s="37"/>
      <c r="D56" s="37"/>
      <c r="E56" s="37"/>
      <c r="F56" s="37"/>
      <c r="G56" s="37"/>
      <c r="H56" s="31"/>
      <c r="I56" s="31"/>
    </row>
    <row r="57" ht="15">
      <c r="B57" s="20"/>
    </row>
    <row r="58" ht="15">
      <c r="B58" s="20"/>
    </row>
    <row r="59" ht="15">
      <c r="B59" s="20" t="s">
        <v>182</v>
      </c>
    </row>
  </sheetData>
  <sheetProtection sheet="1" objects="1" scenarios="1"/>
  <mergeCells count="3">
    <mergeCell ref="B1:H1"/>
    <mergeCell ref="B31:I31"/>
    <mergeCell ref="B15:D15"/>
  </mergeCells>
  <printOptions/>
  <pageMargins left="0.7" right="0.7" top="0.75" bottom="0.75" header="0.3" footer="0.3"/>
  <pageSetup orientation="portrait" paperSize="9"/>
  <legacyDrawing r:id="rId17"/>
  <controls>
    <control shapeId="15361" r:id="rId1" name="cmdHousing"/>
    <control shapeId="15362" r:id="rId2" name="cmdTrans"/>
    <control shapeId="15363" r:id="rId13" name="cmdLivestock"/>
    <control shapeId="15364" r:id="rId14" name="cmdSalary"/>
    <control shapeId="15365" r:id="rId15" name="cmdGraphs"/>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1"/>
  <sheetViews>
    <sheetView showGridLines="0" workbookViewId="0" topLeftCell="A1"/>
  </sheetViews>
  <sheetFormatPr defaultColWidth="12.57421875" defaultRowHeight="15"/>
  <cols>
    <col min="1" max="16384" width="12.57421875" style="1" customWidth="1"/>
  </cols>
  <sheetData/>
  <sheetProtection sheet="1" objects="1" scenarios="1"/>
  <printOptions/>
  <pageMargins left="0.7" right="0.7" top="0.75" bottom="0.75" header="0.3" footer="0.3"/>
  <pageSetup orientation="portrait" paperSize="9"/>
  <drawing r:id="rId17"/>
  <legacyDrawing r:id="rId16"/>
  <controls>
    <control shapeId="2069" r:id="rId1" name="cmdHousing"/>
    <control shapeId="2070" r:id="rId2" name="cmdTrans"/>
    <control shapeId="2071" r:id="rId13" name="cmdLivestock"/>
    <control shapeId="2072" r:id="rId14" name="cmdLabor"/>
    <control shapeId="2073" r:id="rId15" name="cmdSalary"/>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Sahs</dc:creator>
  <cp:keywords/>
  <dc:description/>
  <cp:lastModifiedBy>Thomison, Julianne</cp:lastModifiedBy>
  <dcterms:created xsi:type="dcterms:W3CDTF">2013-10-04T14:33:23Z</dcterms:created>
  <dcterms:modified xsi:type="dcterms:W3CDTF">2021-10-26T19:01:51Z</dcterms:modified>
  <cp:category/>
  <cp:version/>
  <cp:contentType/>
  <cp:contentStatus/>
</cp:coreProperties>
</file>