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AGECON Extension/Agribusiness and Cooperative Management/"/>
    </mc:Choice>
  </mc:AlternateContent>
  <bookViews>
    <workbookView xWindow="0" yWindow="0" windowWidth="23040" windowHeight="9192"/>
  </bookViews>
  <sheets>
    <sheet name="D_class (4 in 12 slope)" sheetId="1" r:id="rId1"/>
    <sheet name="correlation" sheetId="3" r:id="rId2"/>
  </sheets>
  <externalReferences>
    <externalReference r:id="rId3"/>
  </externalReferences>
  <definedNames>
    <definedName name="a" localSheetId="0">'D_class (4 in 12 slope)'!$A$3</definedName>
    <definedName name="a">#REF!</definedName>
    <definedName name="diam" localSheetId="0">'D_class (4 in 12 slope)'!$A$3</definedName>
    <definedName name="door" localSheetId="0">'D_class (4 in 12 slope)'!$U$3</definedName>
    <definedName name="door">#REF!</definedName>
    <definedName name="Eave_height" localSheetId="0">'D_class (4 in 12 slope)'!$A$6</definedName>
    <definedName name="eheight" localSheetId="0">'D_class (4 in 12 slope)'!$D$3</definedName>
    <definedName name="eheight">#REF!</definedName>
    <definedName name="Height" localSheetId="0">'D_class (4 in 12 slope)'!$C$6</definedName>
    <definedName name="high" localSheetId="0">'D_class (4 in 12 slope)'!$B$3</definedName>
    <definedName name="high">#REF!</definedName>
    <definedName name="high1">#REF!</definedName>
    <definedName name="length" localSheetId="1">'[1]S_class_(4 in 12 slope)'!$B$3</definedName>
    <definedName name="length">'D_class (4 in 12 slope)'!$B$3</definedName>
    <definedName name="ring" localSheetId="0">'D_class (4 in 12 slope)'!$G$6</definedName>
    <definedName name="sheet" localSheetId="0">'D_class (4 in 12 slope)'!$D$6</definedName>
    <definedName name="wide" localSheetId="0">'D_class (4 in 12 slope)'!$A$3</definedName>
    <definedName name="wide">#REF!</definedName>
    <definedName name="wide1">#REF!</definedName>
  </definedNames>
  <calcPr calcId="162913"/>
</workbook>
</file>

<file path=xl/calcChain.xml><?xml version="1.0" encoding="utf-8"?>
<calcChain xmlns="http://schemas.openxmlformats.org/spreadsheetml/2006/main">
  <c r="F3" i="1" l="1"/>
  <c r="P25" i="1"/>
  <c r="Q25" i="1" s="1"/>
  <c r="K3" i="1" l="1"/>
  <c r="R46" i="1"/>
  <c r="Q46" i="1"/>
  <c r="R45" i="1"/>
  <c r="Q45" i="1"/>
  <c r="R44" i="1"/>
  <c r="Q44" i="1"/>
  <c r="P39" i="1"/>
  <c r="R39" i="1" s="1"/>
  <c r="P38" i="1"/>
  <c r="P40" i="1" s="1"/>
  <c r="P36" i="1"/>
  <c r="P35" i="1"/>
  <c r="Q35" i="1" s="1"/>
  <c r="P33" i="1"/>
  <c r="P34" i="1" s="1"/>
  <c r="P31" i="1"/>
  <c r="P32" i="1" s="1"/>
  <c r="P28" i="1"/>
  <c r="Q28" i="1" s="1"/>
  <c r="P27" i="1"/>
  <c r="P26" i="1"/>
  <c r="P22" i="1"/>
  <c r="P23" i="1"/>
  <c r="P20" i="1"/>
  <c r="P19" i="1"/>
  <c r="P15" i="1"/>
  <c r="P21" i="1" s="1"/>
  <c r="Q21" i="1" s="1"/>
  <c r="AT1" i="1"/>
  <c r="AU11" i="1" s="1"/>
  <c r="AJ2" i="1"/>
  <c r="AJ1" i="1"/>
  <c r="AV79" i="1"/>
  <c r="AV80" i="1" s="1"/>
  <c r="AV81" i="1" s="1"/>
  <c r="AV82" i="1" s="1"/>
  <c r="AV83" i="1" s="1"/>
  <c r="AV84" i="1" s="1"/>
  <c r="AV85" i="1" s="1"/>
  <c r="AV86" i="1" s="1"/>
  <c r="AV87" i="1" s="1"/>
  <c r="AN72" i="1"/>
  <c r="AV69" i="1"/>
  <c r="AV70" i="1" s="1"/>
  <c r="AV71" i="1" s="1"/>
  <c r="AV72" i="1" s="1"/>
  <c r="AV73" i="1" s="1"/>
  <c r="AV74" i="1" s="1"/>
  <c r="AV75" i="1" s="1"/>
  <c r="AV76" i="1" s="1"/>
  <c r="AV77" i="1" s="1"/>
  <c r="AV64" i="1"/>
  <c r="AV65" i="1" s="1"/>
  <c r="AV66" i="1" s="1"/>
  <c r="AV67" i="1" s="1"/>
  <c r="AL63" i="1"/>
  <c r="AN63" i="1" s="1"/>
  <c r="AN62" i="1"/>
  <c r="AV59" i="1"/>
  <c r="AV60" i="1" s="1"/>
  <c r="AV61" i="1" s="1"/>
  <c r="AV62" i="1" s="1"/>
  <c r="AV54" i="1"/>
  <c r="AV55" i="1" s="1"/>
  <c r="AV56" i="1" s="1"/>
  <c r="AV57" i="1" s="1"/>
  <c r="AL53" i="1"/>
  <c r="AL54" i="1" s="1"/>
  <c r="AN52" i="1"/>
  <c r="AV49" i="1"/>
  <c r="AV50" i="1" s="1"/>
  <c r="AV51" i="1" s="1"/>
  <c r="AV52" i="1" s="1"/>
  <c r="AV44" i="1"/>
  <c r="AV45" i="1" s="1"/>
  <c r="AV46" i="1" s="1"/>
  <c r="AV47" i="1" s="1"/>
  <c r="AL43" i="1"/>
  <c r="AN43" i="1" s="1"/>
  <c r="AN42" i="1"/>
  <c r="AV39" i="1"/>
  <c r="AV40" i="1" s="1"/>
  <c r="AV41" i="1" s="1"/>
  <c r="AV42" i="1" s="1"/>
  <c r="AV33" i="1"/>
  <c r="AV34" i="1" s="1"/>
  <c r="AV35" i="1" s="1"/>
  <c r="AV36" i="1" s="1"/>
  <c r="AV37" i="1" s="1"/>
  <c r="AV31" i="1"/>
  <c r="AV29" i="1"/>
  <c r="AV27" i="1"/>
  <c r="AN26" i="1"/>
  <c r="AN16" i="1"/>
  <c r="AU12" i="1"/>
  <c r="J3" i="1" s="1"/>
  <c r="Y171" i="1"/>
  <c r="N171" i="1"/>
  <c r="B171" i="1"/>
  <c r="Y170" i="1"/>
  <c r="N170" i="1"/>
  <c r="B170" i="1"/>
  <c r="Y169" i="1"/>
  <c r="N169" i="1"/>
  <c r="B169" i="1"/>
  <c r="Y168" i="1"/>
  <c r="N168" i="1"/>
  <c r="B168" i="1"/>
  <c r="Y167" i="1"/>
  <c r="N167" i="1"/>
  <c r="B167" i="1"/>
  <c r="Y166" i="1"/>
  <c r="N166" i="1"/>
  <c r="B166" i="1"/>
  <c r="Y165" i="1"/>
  <c r="N165" i="1"/>
  <c r="B165" i="1"/>
  <c r="Y164" i="1"/>
  <c r="N164" i="1"/>
  <c r="B164" i="1"/>
  <c r="Y163" i="1"/>
  <c r="N163" i="1"/>
  <c r="B163" i="1"/>
  <c r="Y162" i="1"/>
  <c r="N162" i="1"/>
  <c r="B162" i="1"/>
  <c r="Y161" i="1"/>
  <c r="N161" i="1"/>
  <c r="B161" i="1"/>
  <c r="Y160" i="1"/>
  <c r="N160" i="1"/>
  <c r="B160" i="1"/>
  <c r="Y159" i="1"/>
  <c r="N159" i="1"/>
  <c r="B159" i="1"/>
  <c r="Y158" i="1"/>
  <c r="N158" i="1"/>
  <c r="B158" i="1"/>
  <c r="Y157" i="1"/>
  <c r="N157" i="1"/>
  <c r="B157" i="1"/>
  <c r="Y156" i="1"/>
  <c r="N156" i="1"/>
  <c r="B156" i="1"/>
  <c r="Y155" i="1"/>
  <c r="N155" i="1"/>
  <c r="B155" i="1"/>
  <c r="Y154" i="1"/>
  <c r="N154" i="1"/>
  <c r="B154" i="1"/>
  <c r="Y153" i="1"/>
  <c r="N153" i="1"/>
  <c r="B153" i="1"/>
  <c r="Y152" i="1"/>
  <c r="N152" i="1"/>
  <c r="B152" i="1"/>
  <c r="Y151" i="1"/>
  <c r="N151" i="1"/>
  <c r="B151" i="1"/>
  <c r="Y150" i="1"/>
  <c r="N150" i="1"/>
  <c r="B150" i="1"/>
  <c r="Y149" i="1"/>
  <c r="N149" i="1"/>
  <c r="B149" i="1"/>
  <c r="Y148" i="1"/>
  <c r="N148" i="1"/>
  <c r="B148" i="1"/>
  <c r="Y147" i="1"/>
  <c r="N147" i="1"/>
  <c r="B147" i="1"/>
  <c r="Y146" i="1"/>
  <c r="N146" i="1"/>
  <c r="B146" i="1"/>
  <c r="Y145" i="1"/>
  <c r="N145" i="1"/>
  <c r="B145" i="1"/>
  <c r="Y144" i="1"/>
  <c r="N144" i="1"/>
  <c r="B144" i="1"/>
  <c r="Y143" i="1"/>
  <c r="N143" i="1"/>
  <c r="B143" i="1"/>
  <c r="Y142" i="1"/>
  <c r="N142" i="1"/>
  <c r="B142" i="1"/>
  <c r="Y141" i="1"/>
  <c r="N141" i="1"/>
  <c r="B141" i="1"/>
  <c r="Y140" i="1"/>
  <c r="N140" i="1"/>
  <c r="B140" i="1"/>
  <c r="Y139" i="1"/>
  <c r="N139" i="1"/>
  <c r="B139" i="1"/>
  <c r="Y138" i="1"/>
  <c r="N138" i="1"/>
  <c r="B138" i="1"/>
  <c r="Y137" i="1"/>
  <c r="N137" i="1"/>
  <c r="B137" i="1"/>
  <c r="Y136" i="1"/>
  <c r="N136" i="1"/>
  <c r="B136" i="1"/>
  <c r="Y135" i="1"/>
  <c r="N135" i="1"/>
  <c r="B135" i="1"/>
  <c r="Y134" i="1"/>
  <c r="N134" i="1"/>
  <c r="B134" i="1"/>
  <c r="Y133" i="1"/>
  <c r="N133" i="1"/>
  <c r="B133" i="1"/>
  <c r="Y132" i="1"/>
  <c r="N132" i="1"/>
  <c r="B132" i="1"/>
  <c r="Y131" i="1"/>
  <c r="N131" i="1"/>
  <c r="B131" i="1"/>
  <c r="Y130" i="1"/>
  <c r="N130" i="1"/>
  <c r="B130" i="1"/>
  <c r="Y129" i="1"/>
  <c r="N129" i="1"/>
  <c r="B129" i="1"/>
  <c r="Y128" i="1"/>
  <c r="N128" i="1"/>
  <c r="B128" i="1"/>
  <c r="Y127" i="1"/>
  <c r="N127" i="1"/>
  <c r="B127" i="1"/>
  <c r="Y126" i="1"/>
  <c r="N126" i="1"/>
  <c r="B126" i="1"/>
  <c r="Y125" i="1"/>
  <c r="N125" i="1"/>
  <c r="B125" i="1"/>
  <c r="Y124" i="1"/>
  <c r="N124" i="1"/>
  <c r="B124" i="1"/>
  <c r="Y123" i="1"/>
  <c r="N123" i="1"/>
  <c r="B123" i="1"/>
  <c r="Y122" i="1"/>
  <c r="N122" i="1"/>
  <c r="B122" i="1"/>
  <c r="Y121" i="1"/>
  <c r="N121" i="1"/>
  <c r="B121" i="1"/>
  <c r="Y120" i="1"/>
  <c r="N120" i="1"/>
  <c r="B120" i="1"/>
  <c r="Y119" i="1"/>
  <c r="N119" i="1"/>
  <c r="B119" i="1"/>
  <c r="Y118" i="1"/>
  <c r="N118" i="1"/>
  <c r="B118" i="1"/>
  <c r="Y117" i="1"/>
  <c r="N117" i="1"/>
  <c r="B117" i="1"/>
  <c r="Y116" i="1"/>
  <c r="N116" i="1"/>
  <c r="B116" i="1"/>
  <c r="Y115" i="1"/>
  <c r="N115" i="1"/>
  <c r="B115" i="1"/>
  <c r="Y114" i="1"/>
  <c r="N114" i="1"/>
  <c r="B114" i="1"/>
  <c r="Y113" i="1"/>
  <c r="N113" i="1"/>
  <c r="B113" i="1"/>
  <c r="Y112" i="1"/>
  <c r="N112" i="1"/>
  <c r="B112" i="1"/>
  <c r="Y111" i="1"/>
  <c r="N111" i="1"/>
  <c r="B111" i="1"/>
  <c r="Y110" i="1"/>
  <c r="N110" i="1"/>
  <c r="B110" i="1"/>
  <c r="Y109" i="1"/>
  <c r="N109" i="1"/>
  <c r="B109" i="1"/>
  <c r="Y108" i="1"/>
  <c r="N108" i="1"/>
  <c r="B108" i="1"/>
  <c r="Y107" i="1"/>
  <c r="N107" i="1"/>
  <c r="B107" i="1"/>
  <c r="Y106" i="1"/>
  <c r="N106" i="1"/>
  <c r="B106" i="1"/>
  <c r="Y105" i="1"/>
  <c r="N105" i="1"/>
  <c r="B105" i="1"/>
  <c r="Y104" i="1"/>
  <c r="N104" i="1"/>
  <c r="B104" i="1"/>
  <c r="Y103" i="1"/>
  <c r="N103" i="1"/>
  <c r="B103" i="1"/>
  <c r="Y102" i="1"/>
  <c r="N102" i="1"/>
  <c r="B102" i="1"/>
  <c r="Y101" i="1"/>
  <c r="N101" i="1"/>
  <c r="B101" i="1"/>
  <c r="Y100" i="1"/>
  <c r="N100" i="1"/>
  <c r="B100" i="1"/>
  <c r="Y99" i="1"/>
  <c r="N99" i="1"/>
  <c r="B99" i="1"/>
  <c r="Y98" i="1"/>
  <c r="N98" i="1"/>
  <c r="B98" i="1"/>
  <c r="Y97" i="1"/>
  <c r="N97" i="1"/>
  <c r="B97" i="1"/>
  <c r="Y96" i="1"/>
  <c r="N96" i="1"/>
  <c r="B96" i="1"/>
  <c r="Y95" i="1"/>
  <c r="N95" i="1"/>
  <c r="B95" i="1"/>
  <c r="Y94" i="1"/>
  <c r="N94" i="1"/>
  <c r="B94" i="1"/>
  <c r="Y93" i="1"/>
  <c r="N93" i="1"/>
  <c r="B93" i="1"/>
  <c r="Y92" i="1"/>
  <c r="N92" i="1"/>
  <c r="B92" i="1"/>
  <c r="Y91" i="1"/>
  <c r="N91" i="1"/>
  <c r="B91" i="1"/>
  <c r="Y90" i="1"/>
  <c r="N90" i="1"/>
  <c r="B90" i="1"/>
  <c r="Y89" i="1"/>
  <c r="N89" i="1"/>
  <c r="B89" i="1"/>
  <c r="Y88" i="1"/>
  <c r="N88" i="1"/>
  <c r="B88" i="1"/>
  <c r="Y87" i="1"/>
  <c r="N87" i="1"/>
  <c r="B87" i="1"/>
  <c r="Y86" i="1"/>
  <c r="N86" i="1"/>
  <c r="B86" i="1"/>
  <c r="Y85" i="1"/>
  <c r="N85" i="1"/>
  <c r="B85" i="1"/>
  <c r="Y84" i="1"/>
  <c r="N84" i="1"/>
  <c r="B84" i="1"/>
  <c r="Y83" i="1"/>
  <c r="N83" i="1"/>
  <c r="B83" i="1"/>
  <c r="Y82" i="1"/>
  <c r="N82" i="1"/>
  <c r="B82" i="1"/>
  <c r="Y81" i="1"/>
  <c r="N81" i="1"/>
  <c r="B81" i="1"/>
  <c r="Y80" i="1"/>
  <c r="N80" i="1"/>
  <c r="B80" i="1"/>
  <c r="Y79" i="1"/>
  <c r="N79" i="1"/>
  <c r="B79" i="1"/>
  <c r="Y78" i="1"/>
  <c r="N78" i="1"/>
  <c r="B78" i="1"/>
  <c r="Y77" i="1"/>
  <c r="N77" i="1"/>
  <c r="B77" i="1"/>
  <c r="Y76" i="1"/>
  <c r="N76" i="1"/>
  <c r="B76" i="1"/>
  <c r="Y75" i="1"/>
  <c r="N75" i="1"/>
  <c r="B75" i="1"/>
  <c r="Y74" i="1"/>
  <c r="N74" i="1"/>
  <c r="B74" i="1"/>
  <c r="Y73" i="1"/>
  <c r="N73" i="1"/>
  <c r="B73" i="1"/>
  <c r="Y72" i="1"/>
  <c r="N72" i="1"/>
  <c r="B72" i="1"/>
  <c r="Y71" i="1"/>
  <c r="N71" i="1"/>
  <c r="B71" i="1"/>
  <c r="Y70" i="1"/>
  <c r="N70" i="1"/>
  <c r="B70" i="1"/>
  <c r="Y69" i="1"/>
  <c r="N69" i="1"/>
  <c r="B69" i="1"/>
  <c r="Y68" i="1"/>
  <c r="N68" i="1"/>
  <c r="B68" i="1"/>
  <c r="Y67" i="1"/>
  <c r="N67" i="1"/>
  <c r="B67" i="1"/>
  <c r="Y66" i="1"/>
  <c r="N66" i="1"/>
  <c r="B66" i="1"/>
  <c r="Y65" i="1"/>
  <c r="N65" i="1"/>
  <c r="B65" i="1"/>
  <c r="Y64" i="1"/>
  <c r="N64" i="1"/>
  <c r="B64" i="1"/>
  <c r="Y63" i="1"/>
  <c r="N63" i="1"/>
  <c r="B63" i="1"/>
  <c r="Y62" i="1"/>
  <c r="N62" i="1"/>
  <c r="B62" i="1"/>
  <c r="M54" i="1"/>
  <c r="Q54" i="1" s="1"/>
  <c r="L54" i="1"/>
  <c r="R54" i="1" s="1"/>
  <c r="M53" i="1"/>
  <c r="Q53" i="1" s="1"/>
  <c r="L53" i="1"/>
  <c r="R53" i="1" s="1"/>
  <c r="L52" i="1"/>
  <c r="M52" i="1" s="1"/>
  <c r="Q52" i="1" s="1"/>
  <c r="L51" i="1"/>
  <c r="M51" i="1" s="1"/>
  <c r="Q51" i="1" s="1"/>
  <c r="M50" i="1"/>
  <c r="Q50" i="1" s="1"/>
  <c r="L50" i="1"/>
  <c r="R50" i="1" s="1"/>
  <c r="M49" i="1"/>
  <c r="Q49" i="1" s="1"/>
  <c r="L49" i="1"/>
  <c r="R49" i="1" s="1"/>
  <c r="L48" i="1"/>
  <c r="M48" i="1" s="1"/>
  <c r="Q48" i="1" s="1"/>
  <c r="L47" i="1"/>
  <c r="M47" i="1" s="1"/>
  <c r="Q47" i="1" s="1"/>
  <c r="L43" i="1"/>
  <c r="F43" i="1"/>
  <c r="L42" i="1"/>
  <c r="F42" i="1"/>
  <c r="L41" i="1"/>
  <c r="F41" i="1"/>
  <c r="L37" i="1"/>
  <c r="F37" i="1"/>
  <c r="L36" i="1"/>
  <c r="F36" i="1"/>
  <c r="L35" i="1"/>
  <c r="F35" i="1"/>
  <c r="L34" i="1"/>
  <c r="F34" i="1"/>
  <c r="L33" i="1"/>
  <c r="F33" i="1"/>
  <c r="L32" i="1"/>
  <c r="L31" i="1"/>
  <c r="F31" i="1"/>
  <c r="F32" i="1" s="1"/>
  <c r="L30" i="1"/>
  <c r="Y29" i="1"/>
  <c r="L29" i="1"/>
  <c r="F29" i="1"/>
  <c r="F30" i="1" s="1"/>
  <c r="Y28" i="1"/>
  <c r="L28" i="1"/>
  <c r="F28" i="1"/>
  <c r="L27" i="1"/>
  <c r="F27" i="1"/>
  <c r="L26" i="1"/>
  <c r="F26" i="1"/>
  <c r="L25" i="1"/>
  <c r="R25" i="1" s="1"/>
  <c r="F25" i="1"/>
  <c r="P24" i="1"/>
  <c r="R24" i="1" s="1"/>
  <c r="L24" i="1"/>
  <c r="F24" i="1"/>
  <c r="L23" i="1"/>
  <c r="F23" i="1"/>
  <c r="L22" i="1"/>
  <c r="F22" i="1"/>
  <c r="L21" i="1"/>
  <c r="F21" i="1"/>
  <c r="R20" i="1"/>
  <c r="L20" i="1"/>
  <c r="F20" i="1"/>
  <c r="Q19" i="1"/>
  <c r="L19" i="1"/>
  <c r="F19" i="1"/>
  <c r="P18" i="1"/>
  <c r="Q18" i="1" s="1"/>
  <c r="L18" i="1"/>
  <c r="F18" i="1"/>
  <c r="L17" i="1"/>
  <c r="F17" i="1"/>
  <c r="L16" i="1"/>
  <c r="F16" i="1"/>
  <c r="L15" i="1"/>
  <c r="R15" i="1" s="1"/>
  <c r="F15" i="1"/>
  <c r="P14" i="1"/>
  <c r="R14" i="1" s="1"/>
  <c r="L14" i="1"/>
  <c r="F14" i="1"/>
  <c r="P12" i="1"/>
  <c r="P37" i="1" s="1"/>
  <c r="P11" i="1"/>
  <c r="R11" i="1" s="1"/>
  <c r="R7" i="1"/>
  <c r="P6" i="1"/>
  <c r="P7" i="1" s="1"/>
  <c r="K5" i="1"/>
  <c r="M5" i="1" s="1"/>
  <c r="K4" i="1"/>
  <c r="M4" i="1" s="1"/>
  <c r="I4" i="1"/>
  <c r="M3" i="1"/>
  <c r="P41" i="1"/>
  <c r="Q41" i="1" s="1"/>
  <c r="R47" i="1" l="1"/>
  <c r="R51" i="1"/>
  <c r="R27" i="1"/>
  <c r="R48" i="1"/>
  <c r="R52" i="1"/>
  <c r="R32" i="1"/>
  <c r="R34" i="1"/>
  <c r="R36" i="1"/>
  <c r="P17" i="1"/>
  <c r="R17" i="1" s="1"/>
  <c r="P16" i="1"/>
  <c r="R22" i="1"/>
  <c r="Q22" i="1"/>
  <c r="AM1" i="1"/>
  <c r="AI6" i="1" s="1"/>
  <c r="AK11" i="1" s="1"/>
  <c r="Q23" i="1"/>
  <c r="R23" i="1"/>
  <c r="P29" i="1"/>
  <c r="P30" i="1" s="1"/>
  <c r="Q37" i="1"/>
  <c r="R37" i="1"/>
  <c r="Q24" i="1"/>
  <c r="R18" i="1"/>
  <c r="Q31" i="1"/>
  <c r="Q33" i="1"/>
  <c r="Q36" i="1"/>
  <c r="Q27" i="1"/>
  <c r="R28" i="1"/>
  <c r="R31" i="1"/>
  <c r="R33" i="1"/>
  <c r="R35" i="1"/>
  <c r="P42" i="1"/>
  <c r="P43" i="1"/>
  <c r="Q43" i="1" s="1"/>
  <c r="Q12" i="1"/>
  <c r="Q14" i="1"/>
  <c r="Q32" i="1"/>
  <c r="Q38" i="1"/>
  <c r="R41" i="1"/>
  <c r="Q40" i="1"/>
  <c r="R40" i="1"/>
  <c r="R38" i="1"/>
  <c r="Q39" i="1"/>
  <c r="AL55" i="1"/>
  <c r="AN54" i="1"/>
  <c r="AL44" i="1"/>
  <c r="AN53" i="1"/>
  <c r="AL64" i="1"/>
  <c r="Q20" i="1"/>
  <c r="M6" i="1"/>
  <c r="P13" i="1" s="1"/>
  <c r="Q16" i="1"/>
  <c r="R16" i="1"/>
  <c r="Q34" i="1"/>
  <c r="R19" i="1"/>
  <c r="R21" i="1"/>
  <c r="Q11" i="1"/>
  <c r="R12" i="1"/>
  <c r="Q15" i="1"/>
  <c r="Q17" i="1"/>
  <c r="R43" i="1" l="1"/>
  <c r="R29" i="1"/>
  <c r="Q29" i="1"/>
  <c r="R30" i="1"/>
  <c r="Q30" i="1"/>
  <c r="R42" i="1"/>
  <c r="Q42" i="1"/>
  <c r="AL65" i="1"/>
  <c r="AN64" i="1"/>
  <c r="AL45" i="1"/>
  <c r="AN44" i="1"/>
  <c r="AL56" i="1"/>
  <c r="AN55" i="1"/>
  <c r="R26" i="1"/>
  <c r="Q26" i="1"/>
  <c r="R13" i="1"/>
  <c r="Q13" i="1"/>
  <c r="S26" i="1" l="1"/>
  <c r="T38" i="1"/>
  <c r="AL57" i="1"/>
  <c r="AN56" i="1"/>
  <c r="AL46" i="1"/>
  <c r="AN45" i="1"/>
  <c r="AL66" i="1"/>
  <c r="AN65" i="1"/>
  <c r="AL67" i="1" l="1"/>
  <c r="AN66" i="1"/>
  <c r="AL47" i="1"/>
  <c r="AN46" i="1"/>
  <c r="AL58" i="1"/>
  <c r="AN57" i="1"/>
  <c r="AL48" i="1" l="1"/>
  <c r="AN47" i="1"/>
  <c r="AL68" i="1"/>
  <c r="AN67" i="1"/>
  <c r="AL59" i="1"/>
  <c r="AN58" i="1"/>
  <c r="AL60" i="1" l="1"/>
  <c r="AN59" i="1"/>
  <c r="AN68" i="1"/>
  <c r="AL69" i="1"/>
  <c r="AN48" i="1"/>
  <c r="AL49" i="1"/>
  <c r="AL61" i="1" l="1"/>
  <c r="AN61" i="1" s="1"/>
  <c r="AN60" i="1"/>
  <c r="AL50" i="1"/>
  <c r="AN49" i="1"/>
  <c r="AL70" i="1"/>
  <c r="AN69" i="1"/>
  <c r="AL71" i="1" l="1"/>
  <c r="AN71" i="1" s="1"/>
  <c r="AN70" i="1"/>
  <c r="AL27" i="1"/>
  <c r="AL51" i="1"/>
  <c r="AN51" i="1" s="1"/>
  <c r="AN50" i="1"/>
  <c r="AL28" i="1" l="1"/>
  <c r="AN27" i="1"/>
  <c r="AN28" i="1" l="1"/>
  <c r="AL29" i="1"/>
  <c r="AL30" i="1" l="1"/>
  <c r="AN29" i="1"/>
  <c r="AL31" i="1" l="1"/>
  <c r="AN30" i="1"/>
  <c r="AL32" i="1" l="1"/>
  <c r="AN31" i="1"/>
  <c r="AN32" i="1" l="1"/>
  <c r="AL33" i="1"/>
  <c r="AL34" i="1" l="1"/>
  <c r="AN33" i="1"/>
  <c r="AL35" i="1" l="1"/>
  <c r="AN34" i="1"/>
  <c r="AL36" i="1" l="1"/>
  <c r="AN35" i="1"/>
  <c r="AL37" i="1" l="1"/>
  <c r="AN36" i="1"/>
  <c r="AL38" i="1" l="1"/>
  <c r="AN37" i="1"/>
  <c r="AL39" i="1" l="1"/>
  <c r="AN38" i="1"/>
  <c r="AL40" i="1" l="1"/>
  <c r="AN39" i="1"/>
  <c r="AL41" i="1" l="1"/>
  <c r="AN41" i="1" s="1"/>
  <c r="AN40" i="1"/>
  <c r="AL17" i="1"/>
  <c r="AN17" i="1" l="1"/>
  <c r="AL18" i="1"/>
  <c r="AN18" i="1" l="1"/>
  <c r="AL19" i="1"/>
  <c r="AN19" i="1" l="1"/>
  <c r="AL20" i="1"/>
  <c r="AN20" i="1" l="1"/>
  <c r="AL21" i="1"/>
  <c r="AN21" i="1" l="1"/>
  <c r="AL22" i="1"/>
  <c r="AN22" i="1" l="1"/>
  <c r="AL23" i="1"/>
  <c r="AN23" i="1" l="1"/>
  <c r="AK12" i="1" s="1"/>
  <c r="I3" i="1" s="1"/>
  <c r="AL24" i="1"/>
  <c r="F7" i="1" l="1"/>
  <c r="B8" i="1"/>
  <c r="F8" i="1"/>
  <c r="C7" i="1"/>
  <c r="D8" i="1"/>
  <c r="C8" i="1"/>
  <c r="B7" i="1"/>
  <c r="D7" i="1"/>
  <c r="AN24" i="1"/>
  <c r="AL25" i="1"/>
  <c r="AN25" i="1" s="1"/>
  <c r="G7" i="1" l="1"/>
  <c r="G8" i="1"/>
  <c r="E8" i="1" l="1"/>
  <c r="H8" i="1"/>
  <c r="I8" i="1"/>
  <c r="E7" i="1"/>
  <c r="H7" i="1"/>
  <c r="I7" i="1"/>
</calcChain>
</file>

<file path=xl/comments1.xml><?xml version="1.0" encoding="utf-8"?>
<comments xmlns="http://schemas.openxmlformats.org/spreadsheetml/2006/main">
  <authors>
    <author>byounl</author>
  </authors>
  <commentList>
    <comment ref="I2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RS means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Michigan manual
http://www.michigan.gov/documents/Vol2-19Cal232-243Warehouses_121057_7.pdf.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RSMeans 2009
'facilities Construction cost data' ,part Number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RSMeans 2009
'facilities Construction cost data' ,part Number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RSMeans 2006
'Building Construction cost data' , part No.5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+1 indicates front stud
*2 is two endwall</t>
        </r>
      </text>
    </comment>
    <comment ref="P21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+1 indicates front stud
*2 is framingl</t>
        </r>
      </text>
    </comment>
    <comment ref="P23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+1 indicates forward stud
*4  is for four partitionsl
(ROUND(((high/12)-1),0))=4
partition ratio is half of wide</t>
        </r>
      </text>
    </comment>
    <comment ref="Q29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*2  is the in and out side</t>
        </r>
      </text>
    </comment>
    <comment ref="P39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+1 indicates front stud
*2 is framingl</t>
        </r>
      </text>
    </comment>
    <comment ref="P42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*5 is for 4 side and one ceiling</t>
        </r>
      </text>
    </comment>
    <comment ref="P43" authorId="0" shapeId="0">
      <text>
        <r>
          <rPr>
            <b/>
            <sz val="8"/>
            <color indexed="81"/>
            <rFont val="Tahoma"/>
            <family val="2"/>
          </rPr>
          <t>byounl:</t>
        </r>
        <r>
          <rPr>
            <sz val="8"/>
            <color indexed="81"/>
            <rFont val="Tahoma"/>
            <family val="2"/>
          </rPr>
          <t xml:space="preserve">
10 is for wide of office
5  is for 4 side + 1 ceilling 
2 is for in and out side</t>
        </r>
      </text>
    </comment>
  </commentList>
</comments>
</file>

<file path=xl/sharedStrings.xml><?xml version="1.0" encoding="utf-8"?>
<sst xmlns="http://schemas.openxmlformats.org/spreadsheetml/2006/main" count="736" uniqueCount="576">
  <si>
    <t>Foundation</t>
  </si>
  <si>
    <t>Angle of repose</t>
  </si>
  <si>
    <t>Width (')</t>
  </si>
  <si>
    <t>length (')</t>
  </si>
  <si>
    <t>Overhead-door (Ea)</t>
  </si>
  <si>
    <t>height (eave)</t>
  </si>
  <si>
    <t>Electrical &amp; mechanical</t>
  </si>
  <si>
    <t>office size (S.F.)</t>
  </si>
  <si>
    <t>current index
(2009=100)</t>
  </si>
  <si>
    <t>Class</t>
  </si>
  <si>
    <t>Cost multiflier</t>
  </si>
  <si>
    <t>Story multiflier</t>
  </si>
  <si>
    <t>C.F.(cubic foot)</t>
  </si>
  <si>
    <t>C.Y.</t>
  </si>
  <si>
    <t>back</t>
  </si>
  <si>
    <t>4 in 12 slope</t>
  </si>
  <si>
    <t>S</t>
  </si>
  <si>
    <t>front</t>
  </si>
  <si>
    <t>Output warehouse cost</t>
  </si>
  <si>
    <t>Floor</t>
  </si>
  <si>
    <t>wall</t>
  </si>
  <si>
    <t>Roof</t>
  </si>
  <si>
    <t>office</t>
  </si>
  <si>
    <t>Total cost</t>
  </si>
  <si>
    <t>S.F. cost</t>
  </si>
  <si>
    <t>total</t>
  </si>
  <si>
    <t>Bare costs</t>
  </si>
  <si>
    <t>Total INCL O&amp;P</t>
  </si>
  <si>
    <t>part</t>
  </si>
  <si>
    <t>unit</t>
  </si>
  <si>
    <t>specific title</t>
  </si>
  <si>
    <t>Description</t>
  </si>
  <si>
    <t xml:space="preserve"> part number</t>
  </si>
  <si>
    <t>level 5</t>
  </si>
  <si>
    <t>Material</t>
  </si>
  <si>
    <t>Labor</t>
  </si>
  <si>
    <t>Equipment</t>
  </si>
  <si>
    <t>total ($)</t>
  </si>
  <si>
    <t>Total incl O&amp;P</t>
  </si>
  <si>
    <t>required</t>
  </si>
  <si>
    <t>reference</t>
  </si>
  <si>
    <t>unit required</t>
  </si>
  <si>
    <t>Total (O&amp;P)</t>
  </si>
  <si>
    <t>Bare cost</t>
  </si>
  <si>
    <t>forms</t>
  </si>
  <si>
    <t>Forms in place</t>
  </si>
  <si>
    <t>L.F.</t>
  </si>
  <si>
    <t>Edge Forms</t>
  </si>
  <si>
    <t>C.I.P. concrete forms, slab on grade, slab blockouts, plastic, multiple use, to 6" high, includes erecting, bracing, stripping and cleaning</t>
  </si>
  <si>
    <t>031113654100</t>
  </si>
  <si>
    <t>perimeter</t>
  </si>
  <si>
    <t>Reinforcing steel</t>
  </si>
  <si>
    <t>Ea</t>
  </si>
  <si>
    <t>deformed #3</t>
  </si>
  <si>
    <t>Reinforcing steel, in place, dowels, deformed, 2' long, #3, A615, grade 60</t>
  </si>
  <si>
    <t>032110602400</t>
  </si>
  <si>
    <t>0.5/ft</t>
  </si>
  <si>
    <t>concrete</t>
  </si>
  <si>
    <t>Concrete in Place</t>
  </si>
  <si>
    <t>C.Y</t>
  </si>
  <si>
    <t>Slab on grade 6'' thick</t>
  </si>
  <si>
    <t>Structural concrete, in place, slab on grade, 6" thick, includes forms(4 uses) and reinforcing steel</t>
  </si>
  <si>
    <t>033053404700</t>
  </si>
  <si>
    <t>Area</t>
  </si>
  <si>
    <t>wood block flooring</t>
  </si>
  <si>
    <t>S.F.</t>
  </si>
  <si>
    <t>End grain flooring, coated, 2" thick</t>
  </si>
  <si>
    <t>096416100020</t>
  </si>
  <si>
    <t>Wall</t>
  </si>
  <si>
    <t>frame (end wall)</t>
  </si>
  <si>
    <t>Lower studs</t>
  </si>
  <si>
    <t>2 X 6 stud 16" O.C. #' high steel</t>
  </si>
  <si>
    <t>054113305200</t>
  </si>
  <si>
    <t>1/16"</t>
  </si>
  <si>
    <t>upper studs</t>
  </si>
  <si>
    <t>plate</t>
  </si>
  <si>
    <t>wide-door</t>
  </si>
  <si>
    <t>Door Lintel</t>
  </si>
  <si>
    <t>4 " X3-21" X 3", 1/4" thick, 9' long</t>
  </si>
  <si>
    <t>051223452700</t>
  </si>
  <si>
    <t>door length</t>
  </si>
  <si>
    <t>Framing Anchors</t>
  </si>
  <si>
    <t>18 ga, 4 1/2" X 2 3/4"</t>
  </si>
  <si>
    <t>060523601150</t>
  </si>
  <si>
    <t>2/anchor</t>
  </si>
  <si>
    <t>Anchor Bolts</t>
  </si>
  <si>
    <t>3/4" diam X 12" long</t>
  </si>
  <si>
    <t>050523050140</t>
  </si>
  <si>
    <t>1/stud</t>
  </si>
  <si>
    <t>Partition</t>
  </si>
  <si>
    <t>partition</t>
  </si>
  <si>
    <t>metal studs 16" O.C., 3-5/8" wide</t>
  </si>
  <si>
    <t>092116335200</t>
  </si>
  <si>
    <t>siding Panel</t>
  </si>
  <si>
    <t>lining</t>
  </si>
  <si>
    <t>Corrugated. 0.019" thick painted, steel</t>
  </si>
  <si>
    <t>074213200100</t>
  </si>
  <si>
    <t>lining area</t>
  </si>
  <si>
    <t>enterance</t>
  </si>
  <si>
    <t>siding</t>
  </si>
  <si>
    <t>siding area</t>
  </si>
  <si>
    <t>front and Back</t>
  </si>
  <si>
    <t xml:space="preserve">door </t>
  </si>
  <si>
    <t>wood, 1-3/4" thick 12 X 12</t>
  </si>
  <si>
    <t>083613101200</t>
  </si>
  <si>
    <t>door/warehouse</t>
  </si>
  <si>
    <t>frame</t>
  </si>
  <si>
    <t>roof beam</t>
  </si>
  <si>
    <t>18 ga X 6" deep beams</t>
  </si>
  <si>
    <t>054113250200</t>
  </si>
  <si>
    <t>height/12</t>
  </si>
  <si>
    <t>rafters front</t>
  </si>
  <si>
    <t>18 ga X 6" deep rafters, 2"</t>
  </si>
  <si>
    <t>054223600100</t>
  </si>
  <si>
    <t>depend on repose</t>
  </si>
  <si>
    <t>rafters back</t>
  </si>
  <si>
    <t>Framing joists (vertical)</t>
  </si>
  <si>
    <t>joist, 2" flange 18ga X 6" deep</t>
  </si>
  <si>
    <t>054213400220</t>
  </si>
  <si>
    <t>ea</t>
  </si>
  <si>
    <t>labor</t>
  </si>
  <si>
    <t>054213401220</t>
  </si>
  <si>
    <t>Framing joists (cross)</t>
  </si>
  <si>
    <t>joist, 2" flange 12ga X 10" deep</t>
  </si>
  <si>
    <t>054213400540</t>
  </si>
  <si>
    <t>wide level</t>
  </si>
  <si>
    <t>054213401540</t>
  </si>
  <si>
    <t>Fascia board</t>
  </si>
  <si>
    <t>2" X 8"</t>
  </si>
  <si>
    <t>061110302000</t>
  </si>
  <si>
    <t>length level</t>
  </si>
  <si>
    <t>roofing panel</t>
  </si>
  <si>
    <t>steel roofing panel</t>
  </si>
  <si>
    <t>Zinc aluminum alloy finish 22 ga</t>
  </si>
  <si>
    <t>074013200935</t>
  </si>
  <si>
    <t>roof area</t>
  </si>
  <si>
    <t>purins</t>
  </si>
  <si>
    <t>2 X 4,  2' O.C.</t>
  </si>
  <si>
    <t>061110280860</t>
  </si>
  <si>
    <t>rafter length &amp; length</t>
  </si>
  <si>
    <t>studs</t>
  </si>
  <si>
    <t>2 X 6 stud 16" O.C. 10' high wood</t>
  </si>
  <si>
    <t>Wood framing, partitions, standard &amp; better lumber, 2" x 6" studs, 16" O.C., 8' high, includes single bottom plate and double top plate, excludes waste</t>
  </si>
  <si>
    <t>061110260800</t>
  </si>
  <si>
    <t>square form</t>
  </si>
  <si>
    <t>Timber Connectors, framing anchors, 18 gauge, 4-1/2" x 2-3/4"</t>
  </si>
  <si>
    <t>Anchor bolt, J-type, plain steel, 3/4" dia x 12" L, incl nut &amp; washer</t>
  </si>
  <si>
    <t>Concrete block</t>
  </si>
  <si>
    <t>8" X16" units. 4" thick</t>
  </si>
  <si>
    <t>042210230100</t>
  </si>
  <si>
    <t>drywall (finished)</t>
  </si>
  <si>
    <t>3/8" thick, on walls, standard</t>
  </si>
  <si>
    <t>092910300150</t>
  </si>
  <si>
    <t>office area</t>
  </si>
  <si>
    <t xml:space="preserve">in and out </t>
  </si>
  <si>
    <t>window</t>
  </si>
  <si>
    <t>2' X 3' avg. quality. Include. Frame</t>
  </si>
  <si>
    <t>Windows, wood, casement, average quality, builder's model, double insulated glass, 2'-0" x 3'-0" high, incl. frame, screens and grilles</t>
  </si>
  <si>
    <t>085210400100</t>
  </si>
  <si>
    <t>1/office</t>
  </si>
  <si>
    <t>door frame</t>
  </si>
  <si>
    <t>16 ga, 6'-8" high, 3' wide single</t>
  </si>
  <si>
    <t>Frames, steel, knock down, hollow metal, single, 16 ga., up to 5-3/4" deep, 6'-8" h x 3'-0" w</t>
  </si>
  <si>
    <t>081213130025</t>
  </si>
  <si>
    <t>door</t>
  </si>
  <si>
    <t xml:space="preserve">embossed, full panel 6'-8" high, 3' wide </t>
  </si>
  <si>
    <t>Doors, residential, steel, prehung, insulated, exterior, embossed, full panel, 2'-8" x 6'-8"</t>
  </si>
  <si>
    <t>081313200030</t>
  </si>
  <si>
    <t>Square Foot Costs</t>
  </si>
  <si>
    <t>warehouse w/o office</t>
  </si>
  <si>
    <t>mechanical &amp; electrical</t>
  </si>
  <si>
    <t>equipment</t>
  </si>
  <si>
    <t>whole</t>
  </si>
  <si>
    <t>plumbing</t>
  </si>
  <si>
    <t>heating, ventiliating, air condition</t>
  </si>
  <si>
    <t>Electrical</t>
  </si>
  <si>
    <t>warehouse w office</t>
  </si>
  <si>
    <t>end wall</t>
  </si>
  <si>
    <t>partition wall</t>
  </si>
  <si>
    <t>upper stud (back)</t>
  </si>
  <si>
    <t>upper stud (front)</t>
  </si>
  <si>
    <t>=IF((TAN(O2*PI()/180)*((wide/2)-(16*1/12)))&gt;0,(TAN(O2*PI()/180)*((wide/2)-(16*1/12))),0)</t>
  </si>
  <si>
    <t>=IF((TAN(O3*PI()/180)*(wide/2-(16*1/12)))&gt;0,(TAN(O3*PI()/180)*(wide/2-(16*1/12))),0)</t>
  </si>
  <si>
    <t>=IF((TAN(O2*PI()/180)*((wide/2)-(24*1/12)))&gt;0,(TAN(O2*PI()/180)*((wide/2)-(24*1/12))),0)</t>
  </si>
  <si>
    <t>=IF((TAN(O2*PI()/180)*((wide/2)-(16*2/12)))&gt;0,(TAN(O2*PI()/180)*((wide/2)-(16*2/12))),0)</t>
  </si>
  <si>
    <t>=IF((TAN(O3*PI()/180)*(wide/2-(16*2/12)))&gt;0,(TAN(O3*PI()/180)*(wide/2-(16*2/12))),0)</t>
  </si>
  <si>
    <t>=IF((TAN(O2*PI()/180)*((wide/2)-(24*2/12)))&gt;0,(TAN(O2*PI()/180)*((wide/2)-(24*2/12))),0)</t>
  </si>
  <si>
    <t>=IF((TAN(O2*PI()/180)*((wide/2)-(16*3/12)))&gt;0,(TAN(O2*PI()/180)*((wide/2)-(16*3/12))),0)</t>
  </si>
  <si>
    <t>=IF((TAN(O3*PI()/180)*(wide/2-(16*3/12)))&gt;0,(TAN(O3*PI()/180)*(wide/2-(16*3/12))),0)</t>
  </si>
  <si>
    <t>=IF((TAN(O2*PI()/180)*((wide/2)-(24*3/12)))&gt;0,(TAN(O2*PI()/180)*((wide/2)-(24*3/12))),0)</t>
  </si>
  <si>
    <t>=IF((TAN(O2*PI()/180)*((wide/2)-(16*4/12)))&gt;0,(TAN(O2*PI()/180)*((wide/2)-(16*4/12))),0)</t>
  </si>
  <si>
    <t>=IF((TAN(O3*PI()/180)*(wide/2-(16*4/12)))&gt;0,(TAN(O3*PI()/180)*(wide/2-(16*4/12))),0)</t>
  </si>
  <si>
    <t>=IF((TAN(O2*PI()/180)*((wide/2)-(24*4/12)))&gt;0,(TAN(O2*PI()/180)*((wide/2)-(24*4/12))),0)</t>
  </si>
  <si>
    <t>=IF((TAN(O2*PI()/180)*((wide/2)-(16*5/12)))&gt;0,(TAN(O2*PI()/180)*((wide/2)-(16*5/12))),0)</t>
  </si>
  <si>
    <t>=IF((TAN(O3*PI()/180)*(wide/2-(16*5/12)))&gt;0,(TAN(O3*PI()/180)*(wide/2-(16*5/12))),0)</t>
  </si>
  <si>
    <t>=IF((TAN(O2*PI()/180)*((wide/2)-(24*5/12)))&gt;0,(TAN(O2*PI()/180)*((wide/2)-(24*5/12))),0)</t>
  </si>
  <si>
    <t>=IF((TAN(O2*PI()/180)*((wide/2)-(16*6/12)))&gt;0,(TAN(O2*PI()/180)*((wide/2)-(16*6/12))),0)</t>
  </si>
  <si>
    <t>=IF((TAN(O3*PI()/180)*(wide/2-(16*6/12)))&gt;0,(TAN(O3*PI()/180)*(wide/2-(16*6/12))),0)</t>
  </si>
  <si>
    <t>=IF((TAN(O2*PI()/180)*((wide/2)-(24*6/12)))&gt;0,(TAN(O2*PI()/180)*((wide/2)-(24*6/12))),0)</t>
  </si>
  <si>
    <t>=IF((TAN(O2*PI()/180)*((wide/2)-(16*7/12)))&gt;0,(TAN(O2*PI()/180)*((wide/2)-(16*7/12))),0)</t>
  </si>
  <si>
    <t>=IF((TAN(O3*PI()/180)*(wide/2-(16*7/12)))&gt;0,(TAN(O3*PI()/180)*(wide/2-(16*7/12))),0)</t>
  </si>
  <si>
    <t>=IF((TAN(O2*PI()/180)*((wide/2)-(24*7/12)))&gt;0,(TAN(O2*PI()/180)*((wide/2)-(24*7/12))),0)</t>
  </si>
  <si>
    <t>=IF((TAN(O2*PI()/180)*((wide/2)-(16*8/12)))&gt;0,(TAN(O2*PI()/180)*((wide/2)-(16*8/12))),0)</t>
  </si>
  <si>
    <t>=IF((TAN(O3*PI()/180)*(wide/2-(16*8/12)))&gt;0,(TAN(O3*PI()/180)*(wide/2-(16*8/12))),0)</t>
  </si>
  <si>
    <t>=IF((TAN(O2*PI()/180)*((wide/2)-(24*8/12)))&gt;0,(TAN(O2*PI()/180)*((wide/2)-(24*8/12))),0)</t>
  </si>
  <si>
    <t>=IF((TAN(O2*PI()/180)*((wide/2)-(16*9/12)))&gt;0,(TAN(O2*PI()/180)*((wide/2)-(16*9/12))),0)</t>
  </si>
  <si>
    <t>=IF((TAN(O3*PI()/180)*(wide/2-(16*9/12)))&gt;0,(TAN(O3*PI()/180)*(wide/2-(16*9/12))),0)</t>
  </si>
  <si>
    <t>=IF((TAN(O2*PI()/180)*((wide/2)-(24*9/12)))&gt;0,(TAN(O2*PI()/180)*((wide/2)-(24*9/12))),0)</t>
  </si>
  <si>
    <t>=IF((TAN(O2*PI()/180)*((wide/2)-(16*10/12)))&gt;0,(TAN(O2*PI()/180)*((wide/2)-(16*10/12))),0)</t>
  </si>
  <si>
    <t>=IF((TAN(O3*PI()/180)*(wide/2-(16*10/12)))&gt;0,(TAN(O3*PI()/180)*(wide/2-(16*10/12))),0)</t>
  </si>
  <si>
    <t>=IF((TAN(O2*PI()/180)*((wide/2)-(24*10/12)))&gt;0,(TAN(O2*PI()/180)*((wide/2)-(24*10/12))),0)</t>
  </si>
  <si>
    <t>=IF((TAN(O2*PI()/180)*((wide/2)-(16*11/12)))&gt;0,(TAN(O2*PI()/180)*((wide/2)-(16*11/12))),0)</t>
  </si>
  <si>
    <t>=IF((TAN(O3*PI()/180)*(wide/2-(16*11/12)))&gt;0,(TAN(O3*PI()/180)*(wide/2-(16*11/12))),0)</t>
  </si>
  <si>
    <t>=IF((TAN(O2*PI()/180)*((wide/2)-(24*11/12)))&gt;0,(TAN(O2*PI()/180)*((wide/2)-(24*11/12))),0)</t>
  </si>
  <si>
    <t>=IF((TAN(O2*PI()/180)*((wide/2)-(16*12/12)))&gt;0,(TAN(O2*PI()/180)*((wide/2)-(16*12/12))),0)</t>
  </si>
  <si>
    <t>=IF((TAN(O3*PI()/180)*(wide/2-(16*12/12)))&gt;0,(TAN(O3*PI()/180)*(wide/2-(16*12/12))),0)</t>
  </si>
  <si>
    <t>=IF((TAN(O2*PI()/180)*((wide/2)-(24*12/12)))&gt;0,(TAN(O2*PI()/180)*((wide/2)-(24*12/12))),0)</t>
  </si>
  <si>
    <t>=IF((TAN(O2*PI()/180)*((wide/2)-(16*13/12)))&gt;0,(TAN(O2*PI()/180)*((wide/2)-(16*13/12))),0)</t>
  </si>
  <si>
    <t>=IF((TAN(O3*PI()/180)*(wide/2-(16*13/12)))&gt;0,(TAN(O3*PI()/180)*(wide/2-(16*13/12))),0)</t>
  </si>
  <si>
    <t>=IF((TAN(O2*PI()/180)*((wide/2)-(24*13/12)))&gt;0,(TAN(O2*PI()/180)*((wide/2)-(24*13/12))),0)</t>
  </si>
  <si>
    <t>=IF((TAN(O2*PI()/180)*((wide/2)-(16*14/12)))&gt;0,(TAN(O2*PI()/180)*((wide/2)-(16*14/12))),0)</t>
  </si>
  <si>
    <t>=IF((TAN(O3*PI()/180)*(wide/2-(16*14/12)))&gt;0,(TAN(O3*PI()/180)*(wide/2-(16*14/12))),0)</t>
  </si>
  <si>
    <t>=IF((TAN(O2*PI()/180)*((wide/2)-(24*14/12)))&gt;0,(TAN(O2*PI()/180)*((wide/2)-(24*14/12))),0)</t>
  </si>
  <si>
    <t>=IF((TAN(O2*PI()/180)*((wide/2)-(16*15/12)))&gt;0,(TAN(O2*PI()/180)*((wide/2)-(16*15/12))),0)</t>
  </si>
  <si>
    <t>=IF((TAN(O3*PI()/180)*(wide/2-(16*15/12)))&gt;0,(TAN(O3*PI()/180)*(wide/2-(16*15/12))),0)</t>
  </si>
  <si>
    <t>=IF((TAN(O2*PI()/180)*((wide/2)-(24*15/12)))&gt;0,(TAN(O2*PI()/180)*((wide/2)-(24*15/12))),0)</t>
  </si>
  <si>
    <t>=IF((TAN(O2*PI()/180)*((wide/2)-(16*16/12)))&gt;0,(TAN(O2*PI()/180)*((wide/2)-(16*16/12))),0)</t>
  </si>
  <si>
    <t>=IF((TAN(O3*PI()/180)*(wide/2-(16*16/12)))&gt;0,(TAN(O3*PI()/180)*(wide/2-(16*16/12))),0)</t>
  </si>
  <si>
    <t>=IF((TAN(O2*PI()/180)*((wide/2)-(24*16/12)))&gt;0,(TAN(O2*PI()/180)*((wide/2)-(24*16/12))),0)</t>
  </si>
  <si>
    <t>=IF((TAN(O2*PI()/180)*((wide/2)-(16*17/12)))&gt;0,(TAN(O2*PI()/180)*((wide/2)-(16*17/12))),0)</t>
  </si>
  <si>
    <t>=IF((TAN(O3*PI()/180)*(wide/2-(16*17/12)))&gt;0,(TAN(O3*PI()/180)*(wide/2-(16*17/12))),0)</t>
  </si>
  <si>
    <t>=IF((TAN(O2*PI()/180)*((wide/2)-(24*17/12)))&gt;0,(TAN(O2*PI()/180)*((wide/2)-(24*17/12))),0)</t>
  </si>
  <si>
    <t>=IF((TAN(O2*PI()/180)*((wide/2)-(16*18/12)))&gt;0,(TAN(O2*PI()/180)*((wide/2)-(16*18/12))),0)</t>
  </si>
  <si>
    <t>=IF((TAN(O3*PI()/180)*(wide/2-(16*18/12)))&gt;0,(TAN(O3*PI()/180)*(wide/2-(16*18/12))),0)</t>
  </si>
  <si>
    <t>=IF((TAN(O2*PI()/180)*((wide/2)-(24*18/12)))&gt;0,(TAN(O2*PI()/180)*((wide/2)-(24*18/12))),0)</t>
  </si>
  <si>
    <t>=IF((TAN(O2*PI()/180)*((wide/2)-(16*19/12)))&gt;0,(TAN(O2*PI()/180)*((wide/2)-(16*19/12))),0)</t>
  </si>
  <si>
    <t>=IF((TAN(O3*PI()/180)*(wide/2-(16*19/12)))&gt;0,(TAN(O3*PI()/180)*(wide/2-(16*19/12))),0)</t>
  </si>
  <si>
    <t>=IF((TAN(O2*PI()/180)*((wide/2)-(24*19/12)))&gt;0,(TAN(O2*PI()/180)*((wide/2)-(24*19/12))),0)</t>
  </si>
  <si>
    <t>=IF((TAN(O2*PI()/180)*((wide/2)-(16*20/12)))&gt;0,(TAN(O2*PI()/180)*((wide/2)-(16*20/12))),0)</t>
  </si>
  <si>
    <t>=IF((TAN(O3*PI()/180)*(wide/2-(16*20/12)))&gt;0,(TAN(O3*PI()/180)*(wide/2-(16*20/12))),0)</t>
  </si>
  <si>
    <t>=IF((TAN(O2*PI()/180)*((wide/2)-(24*20/12)))&gt;0,(TAN(O2*PI()/180)*((wide/2)-(24*20/12))),0)</t>
  </si>
  <si>
    <t>=IF((TAN(O2*PI()/180)*((wide/2)-(16*21/12)))&gt;0,(TAN(O2*PI()/180)*((wide/2)-(16*21/12))),0)</t>
  </si>
  <si>
    <t>=IF((TAN(O3*PI()/180)*(wide/2-(16*21/12)))&gt;0,(TAN(O3*PI()/180)*(wide/2-(16*21/12))),0)</t>
  </si>
  <si>
    <t>=IF((TAN(O2*PI()/180)*((wide/2)-(24*21/12)))&gt;0,(TAN(O2*PI()/180)*((wide/2)-(24*21/12))),0)</t>
  </si>
  <si>
    <t>=IF((TAN(O2*PI()/180)*((wide/2)-(16*22/12)))&gt;0,(TAN(O2*PI()/180)*((wide/2)-(16*22/12))),0)</t>
  </si>
  <si>
    <t>=IF((TAN(O3*PI()/180)*(wide/2-(16*22/12)))&gt;0,(TAN(O3*PI()/180)*(wide/2-(16*22/12))),0)</t>
  </si>
  <si>
    <t>=IF((TAN(O2*PI()/180)*((wide/2)-(24*22/12)))&gt;0,(TAN(O2*PI()/180)*((wide/2)-(24*22/12))),0)</t>
  </si>
  <si>
    <t>=IF((TAN(O2*PI()/180)*((wide/2)-(16*23/12)))&gt;0,(TAN(O2*PI()/180)*((wide/2)-(16*23/12))),0)</t>
  </si>
  <si>
    <t>=IF((TAN(O3*PI()/180)*(wide/2-(16*23/12)))&gt;0,(TAN(O3*PI()/180)*(wide/2-(16*23/12))),0)</t>
  </si>
  <si>
    <t>=IF((TAN(O2*PI()/180)*((wide/2)-(24*23/12)))&gt;0,(TAN(O2*PI()/180)*((wide/2)-(24*23/12))),0)</t>
  </si>
  <si>
    <t>=IF((TAN(O2*PI()/180)*((wide/2)-(16*24/12)))&gt;0,(TAN(O2*PI()/180)*((wide/2)-(16*24/12))),0)</t>
  </si>
  <si>
    <t>=IF((TAN(O3*PI()/180)*(wide/2-(16*24/12)))&gt;0,(TAN(O3*PI()/180)*(wide/2-(16*24/12))),0)</t>
  </si>
  <si>
    <t>=IF((TAN(O2*PI()/180)*((wide/2)-(24*24/12)))&gt;0,(TAN(O2*PI()/180)*((wide/2)-(24*24/12))),0)</t>
  </si>
  <si>
    <t>=IF((TAN(O2*PI()/180)*((wide/2)-(16*25/12)))&gt;0,(TAN(O2*PI()/180)*((wide/2)-(16*25/12))),0)</t>
  </si>
  <si>
    <t>=IF((TAN(O3*PI()/180)*(wide/2-(16*25/12)))&gt;0,(TAN(O3*PI()/180)*(wide/2-(16*25/12))),0)</t>
  </si>
  <si>
    <t>=IF((TAN(O2*PI()/180)*((wide/2)-(24*25/12)))&gt;0,(TAN(O2*PI()/180)*((wide/2)-(24*25/12))),0)</t>
  </si>
  <si>
    <t>=IF((TAN(O2*PI()/180)*((wide/2)-(16*26/12)))&gt;0,(TAN(O2*PI()/180)*((wide/2)-(16*26/12))),0)</t>
  </si>
  <si>
    <t>=IF((TAN(O3*PI()/180)*(wide/2-(16*26/12)))&gt;0,(TAN(O3*PI()/180)*(wide/2-(16*26/12))),0)</t>
  </si>
  <si>
    <t>=IF((TAN(O2*PI()/180)*((wide/2)-(24*26/12)))&gt;0,(TAN(O2*PI()/180)*((wide/2)-(24*26/12))),0)</t>
  </si>
  <si>
    <t>=IF((TAN(O2*PI()/180)*((wide/2)-(16*27/12)))&gt;0,(TAN(O2*PI()/180)*((wide/2)-(16*27/12))),0)</t>
  </si>
  <si>
    <t>=IF((TAN(O3*PI()/180)*(wide/2-(16*27/12)))&gt;0,(TAN(O3*PI()/180)*(wide/2-(16*27/12))),0)</t>
  </si>
  <si>
    <t>=IF((TAN(O2*PI()/180)*((wide/2)-(24*27/12)))&gt;0,(TAN(O2*PI()/180)*((wide/2)-(24*27/12))),0)</t>
  </si>
  <si>
    <t>=IF((TAN(O2*PI()/180)*((wide/2)-(16*28/12)))&gt;0,(TAN(O2*PI()/180)*((wide/2)-(16*28/12))),0)</t>
  </si>
  <si>
    <t>=IF((TAN(O3*PI()/180)*(wide/2-(16*28/12)))&gt;0,(TAN(O3*PI()/180)*(wide/2-(16*28/12))),0)</t>
  </si>
  <si>
    <t>=IF((TAN(O2*PI()/180)*((wide/2)-(24*28/12)))&gt;0,(TAN(O2*PI()/180)*((wide/2)-(24*28/12))),0)</t>
  </si>
  <si>
    <t>=IF((TAN(O2*PI()/180)*((wide/2)-(16*29/12)))&gt;0,(TAN(O2*PI()/180)*((wide/2)-(16*29/12))),0)</t>
  </si>
  <si>
    <t>=IF((TAN(O3*PI()/180)*(wide/2-(16*29/12)))&gt;0,(TAN(O3*PI()/180)*(wide/2-(16*29/12))),0)</t>
  </si>
  <si>
    <t>=IF((TAN(O2*PI()/180)*((wide/2)-(24*29/12)))&gt;0,(TAN(O2*PI()/180)*((wide/2)-(24*29/12))),0)</t>
  </si>
  <si>
    <t>=IF((TAN(O2*PI()/180)*((wide/2)-(16*30/12)))&gt;0,(TAN(O2*PI()/180)*((wide/2)-(16*30/12))),0)</t>
  </si>
  <si>
    <t>=IF((TAN(O3*PI()/180)*(wide/2-(16*30/12)))&gt;0,(TAN(O3*PI()/180)*(wide/2-(16*30/12))),0)</t>
  </si>
  <si>
    <t>=IF((TAN(O2*PI()/180)*((wide/2)-(24*30/12)))&gt;0,(TAN(O2*PI()/180)*((wide/2)-(24*30/12))),0)</t>
  </si>
  <si>
    <t>=IF((TAN(O2*PI()/180)*((wide/2)-(16*31/12)))&gt;0,(TAN(O2*PI()/180)*((wide/2)-(16*31/12))),0)</t>
  </si>
  <si>
    <t>=IF((TAN(O3*PI()/180)*(wide/2-(16*31/12)))&gt;0,(TAN(O3*PI()/180)*(wide/2-(16*31/12))),0)</t>
  </si>
  <si>
    <t>=IF((TAN(O2*PI()/180)*((wide/2)-(24*31/12)))&gt;0,(TAN(O2*PI()/180)*((wide/2)-(24*31/12))),0)</t>
  </si>
  <si>
    <t>=IF((TAN(O2*PI()/180)*((wide/2)-(16*32/12)))&gt;0,(TAN(O2*PI()/180)*((wide/2)-(16*32/12))),0)</t>
  </si>
  <si>
    <t>=IF((TAN(O3*PI()/180)*(wide/2-(16*32/12)))&gt;0,(TAN(O3*PI()/180)*(wide/2-(16*32/12))),0)</t>
  </si>
  <si>
    <t>=IF((TAN(O2*PI()/180)*((wide/2)-(24*32/12)))&gt;0,(TAN(O2*PI()/180)*((wide/2)-(24*32/12))),0)</t>
  </si>
  <si>
    <t>=IF((TAN(O2*PI()/180)*((wide/2)-(16*33/12)))&gt;0,(TAN(O2*PI()/180)*((wide/2)-(16*33/12))),0)</t>
  </si>
  <si>
    <t>=IF((TAN(O3*PI()/180)*(wide/2-(16*33/12)))&gt;0,(TAN(O3*PI()/180)*(wide/2-(16*33/12))),0)</t>
  </si>
  <si>
    <t>=IF((TAN(O2*PI()/180)*((wide/2)-(24*33/12)))&gt;0,(TAN(O2*PI()/180)*((wide/2)-(24*33/12))),0)</t>
  </si>
  <si>
    <t>=IF((TAN(O2*PI()/180)*((wide/2)-(16*34/12)))&gt;0,(TAN(O2*PI()/180)*((wide/2)-(16*34/12))),0)</t>
  </si>
  <si>
    <t>=IF((TAN(O3*PI()/180)*(wide/2-(16*34/12)))&gt;0,(TAN(O3*PI()/180)*(wide/2-(16*34/12))),0)</t>
  </si>
  <si>
    <t>=IF((TAN(O2*PI()/180)*((wide/2)-(24*34/12)))&gt;0,(TAN(O2*PI()/180)*((wide/2)-(24*34/12))),0)</t>
  </si>
  <si>
    <t>=IF((TAN(O2*PI()/180)*((wide/2)-(16*35/12)))&gt;0,(TAN(O2*PI()/180)*((wide/2)-(16*35/12))),0)</t>
  </si>
  <si>
    <t>=IF((TAN(O3*PI()/180)*(wide/2-(16*35/12)))&gt;0,(TAN(O3*PI()/180)*(wide/2-(16*35/12))),0)</t>
  </si>
  <si>
    <t>=IF((TAN(O2*PI()/180)*((wide/2)-(24*35/12)))&gt;0,(TAN(O2*PI()/180)*((wide/2)-(24*35/12))),0)</t>
  </si>
  <si>
    <t>=IF((TAN(O2*PI()/180)*((wide/2)-(16*36/12)))&gt;0,(TAN(O2*PI()/180)*((wide/2)-(16*36/12))),0)</t>
  </si>
  <si>
    <t>=IF((TAN(O3*PI()/180)*(wide/2-(16*36/12)))&gt;0,(TAN(O3*PI()/180)*(wide/2-(16*36/12))),0)</t>
  </si>
  <si>
    <t>=IF((TAN(O2*PI()/180)*((wide/2)-(24*36/12)))&gt;0,(TAN(O2*PI()/180)*((wide/2)-(24*36/12))),0)</t>
  </si>
  <si>
    <t>=IF((TAN(O2*PI()/180)*((wide/2)-(16*37/12)))&gt;0,(TAN(O2*PI()/180)*((wide/2)-(16*37/12))),0)</t>
  </si>
  <si>
    <t>=IF((TAN(O3*PI()/180)*(wide/2-(16*37/12)))&gt;0,(TAN(O3*PI()/180)*(wide/2-(16*37/12))),0)</t>
  </si>
  <si>
    <t>=IF((TAN(O2*PI()/180)*((wide/2)-(24*37/12)))&gt;0,(TAN(O2*PI()/180)*((wide/2)-(24*37/12))),0)</t>
  </si>
  <si>
    <t>=IF((TAN(O2*PI()/180)*((wide/2)-(16*38/12)))&gt;0,(TAN(O2*PI()/180)*((wide/2)-(16*38/12))),0)</t>
  </si>
  <si>
    <t>=IF((TAN(O3*PI()/180)*(wide/2-(16*38/12)))&gt;0,(TAN(O3*PI()/180)*(wide/2-(16*38/12))),0)</t>
  </si>
  <si>
    <t>=IF((TAN(O2*PI()/180)*((wide/2)-(24*38/12)))&gt;0,(TAN(O2*PI()/180)*((wide/2)-(24*38/12))),0)</t>
  </si>
  <si>
    <t>=IF((TAN(O2*PI()/180)*((wide/2)-(16*39/12)))&gt;0,(TAN(O2*PI()/180)*((wide/2)-(16*39/12))),0)</t>
  </si>
  <si>
    <t>=IF((TAN(O3*PI()/180)*(wide/2-(16*39/12)))&gt;0,(TAN(O3*PI()/180)*(wide/2-(16*39/12))),0)</t>
  </si>
  <si>
    <t>=IF((TAN(O2*PI()/180)*((wide/2)-(24*39/12)))&gt;0,(TAN(O2*PI()/180)*((wide/2)-(24*39/12))),0)</t>
  </si>
  <si>
    <t>=IF((TAN(O2*PI()/180)*((wide/2)-(16*40/12)))&gt;0,(TAN(O2*PI()/180)*((wide/2)-(16*40/12))),0)</t>
  </si>
  <si>
    <t>=IF((TAN(O3*PI()/180)*(wide/2-(16*40/12)))&gt;0,(TAN(O3*PI()/180)*(wide/2-(16*40/12))),0)</t>
  </si>
  <si>
    <t>=IF((TAN(O2*PI()/180)*((wide/2)-(24*40/12)))&gt;0,(TAN(O2*PI()/180)*((wide/2)-(24*40/12))),0)</t>
  </si>
  <si>
    <t>=IF((TAN(O2*PI()/180)*((wide/2)-(16*41/12)))&gt;0,(TAN(O2*PI()/180)*((wide/2)-(16*41/12))),0)</t>
  </si>
  <si>
    <t>=IF((TAN(O3*PI()/180)*(wide/2-(16*41/12)))&gt;0,(TAN(O3*PI()/180)*(wide/2-(16*41/12))),0)</t>
  </si>
  <si>
    <t>=IF((TAN(O2*PI()/180)*((wide/2)-(24*41/12)))&gt;0,(TAN(O2*PI()/180)*((wide/2)-(24*41/12))),0)</t>
  </si>
  <si>
    <t>=IF((TAN(O2*PI()/180)*((wide/2)-(16*42/12)))&gt;0,(TAN(O2*PI()/180)*((wide/2)-(16*42/12))),0)</t>
  </si>
  <si>
    <t>=IF((TAN(O3*PI()/180)*(wide/2-(16*42/12)))&gt;0,(TAN(O3*PI()/180)*(wide/2-(16*42/12))),0)</t>
  </si>
  <si>
    <t>=IF((TAN(O2*PI()/180)*((wide/2)-(24*42/12)))&gt;0,(TAN(O2*PI()/180)*((wide/2)-(24*42/12))),0)</t>
  </si>
  <si>
    <t>=IF((TAN(O2*PI()/180)*((wide/2)-(16*43/12)))&gt;0,(TAN(O2*PI()/180)*((wide/2)-(16*43/12))),0)</t>
  </si>
  <si>
    <t>=IF((TAN(O3*PI()/180)*(wide/2-(16*43/12)))&gt;0,(TAN(O3*PI()/180)*(wide/2-(16*43/12))),0)</t>
  </si>
  <si>
    <t>=IF((TAN(O2*PI()/180)*((wide/2)-(24*43/12)))&gt;0,(TAN(O2*PI()/180)*((wide/2)-(24*43/12))),0)</t>
  </si>
  <si>
    <t>=IF((TAN(O2*PI()/180)*((wide/2)-(16*44/12)))&gt;0,(TAN(O2*PI()/180)*((wide/2)-(16*44/12))),0)</t>
  </si>
  <si>
    <t>=IF((TAN(O3*PI()/180)*(wide/2-(16*44/12)))&gt;0,(TAN(O3*PI()/180)*(wide/2-(16*44/12))),0)</t>
  </si>
  <si>
    <t>=IF((TAN(O2*PI()/180)*((wide/2)-(24*44/12)))&gt;0,(TAN(O2*PI()/180)*((wide/2)-(24*44/12))),0)</t>
  </si>
  <si>
    <t>=IF((TAN(O2*PI()/180)*((wide/2)-(16*45/12)))&gt;0,(TAN(O2*PI()/180)*((wide/2)-(16*45/12))),0)</t>
  </si>
  <si>
    <t>=IF((TAN(O3*PI()/180)*(wide/2-(16*45/12)))&gt;0,(TAN(O3*PI()/180)*(wide/2-(16*45/12))),0)</t>
  </si>
  <si>
    <t>=IF((TAN(O2*PI()/180)*((wide/2)-(24*45/12)))&gt;0,(TAN(O2*PI()/180)*((wide/2)-(24*45/12))),0)</t>
  </si>
  <si>
    <t>=IF((TAN(O2*PI()/180)*((wide/2)-(16*46/12)))&gt;0,(TAN(O2*PI()/180)*((wide/2)-(16*46/12))),0)</t>
  </si>
  <si>
    <t>=IF((TAN(O3*PI()/180)*(wide/2-(16*46/12)))&gt;0,(TAN(O3*PI()/180)*(wide/2-(16*46/12))),0)</t>
  </si>
  <si>
    <t>=IF((TAN(O2*PI()/180)*((wide/2)-(24*46/12)))&gt;0,(TAN(O2*PI()/180)*((wide/2)-(24*46/12))),0)</t>
  </si>
  <si>
    <t>=IF((TAN(O2*PI()/180)*((wide/2)-(16*47/12)))&gt;0,(TAN(O2*PI()/180)*((wide/2)-(16*47/12))),0)</t>
  </si>
  <si>
    <t>=IF((TAN(O3*PI()/180)*(wide/2-(16*47/12)))&gt;0,(TAN(O3*PI()/180)*(wide/2-(16*47/12))),0)</t>
  </si>
  <si>
    <t>=IF((TAN(O2*PI()/180)*((wide/2)-(24*47/12)))&gt;0,(TAN(O2*PI()/180)*((wide/2)-(24*47/12))),0)</t>
  </si>
  <si>
    <t>=IF((TAN(O2*PI()/180)*((wide/2)-(16*48/12)))&gt;0,(TAN(O2*PI()/180)*((wide/2)-(16*48/12))),0)</t>
  </si>
  <si>
    <t>=IF((TAN(O3*PI()/180)*(wide/2-(16*48/12)))&gt;0,(TAN(O3*PI()/180)*(wide/2-(16*48/12))),0)</t>
  </si>
  <si>
    <t>=IF((TAN(O2*PI()/180)*((wide/2)-(24*48/12)))&gt;0,(TAN(O2*PI()/180)*((wide/2)-(24*48/12))),0)</t>
  </si>
  <si>
    <t>=IF((TAN(O2*PI()/180)*((wide/2)-(16*49/12)))&gt;0,(TAN(O2*PI()/180)*((wide/2)-(16*49/12))),0)</t>
  </si>
  <si>
    <t>=IF((TAN(O3*PI()/180)*(wide/2-(16*49/12)))&gt;0,(TAN(O3*PI()/180)*(wide/2-(16*49/12))),0)</t>
  </si>
  <si>
    <t>=IF((TAN(O2*PI()/180)*((wide/2)-(24*49/12)))&gt;0,(TAN(O2*PI()/180)*((wide/2)-(24*49/12))),0)</t>
  </si>
  <si>
    <t>=IF((TAN(O2*PI()/180)*((wide/2)-(16*50/12)))&gt;0,(TAN(O2*PI()/180)*((wide/2)-(16*50/12))),0)</t>
  </si>
  <si>
    <t>=IF((TAN(O3*PI()/180)*(wide/2-(16*50/12)))&gt;0,(TAN(O3*PI()/180)*(wide/2-(16*50/12))),0)</t>
  </si>
  <si>
    <t>=IF((TAN(O2*PI()/180)*((wide/2)-(24*50/12)))&gt;0,(TAN(O2*PI()/180)*((wide/2)-(24*50/12))),0)</t>
  </si>
  <si>
    <t>=IF((TAN(O2*PI()/180)*((wide/2)-(16*51/12)))&gt;0,(TAN(O2*PI()/180)*((wide/2)-(16*51/12))),0)</t>
  </si>
  <si>
    <t>=IF((TAN(O3*PI()/180)*(wide/2-(16*51/12)))&gt;0,(TAN(O3*PI()/180)*(wide/2-(16*51/12))),0)</t>
  </si>
  <si>
    <t>=IF((TAN(O2*PI()/180)*((wide/2)-(24*51/12)))&gt;0,(TAN(O2*PI()/180)*((wide/2)-(24*51/12))),0)</t>
  </si>
  <si>
    <t>=IF((TAN(O2*PI()/180)*((wide/2)-(16*52/12)))&gt;0,(TAN(O2*PI()/180)*((wide/2)-(16*52/12))),0)</t>
  </si>
  <si>
    <t>=IF((TAN(O3*PI()/180)*(wide/2-(16*52/12)))&gt;0,(TAN(O3*PI()/180)*(wide/2-(16*52/12))),0)</t>
  </si>
  <si>
    <t>=IF((TAN(O2*PI()/180)*((wide/2)-(24*52/12)))&gt;0,(TAN(O2*PI()/180)*((wide/2)-(24*52/12))),0)</t>
  </si>
  <si>
    <t>=IF((TAN(O2*PI()/180)*((wide/2)-(16*53/12)))&gt;0,(TAN(O2*PI()/180)*((wide/2)-(16*53/12))),0)</t>
  </si>
  <si>
    <t>=IF((TAN(O3*PI()/180)*(wide/2-(16*53/12)))&gt;0,(TAN(O3*PI()/180)*(wide/2-(16*53/12))),0)</t>
  </si>
  <si>
    <t>=IF((TAN(O2*PI()/180)*((wide/2)-(24*53/12)))&gt;0,(TAN(O2*PI()/180)*((wide/2)-(24*53/12))),0)</t>
  </si>
  <si>
    <t>=IF((TAN(O2*PI()/180)*((wide/2)-(16*54/12)))&gt;0,(TAN(O2*PI()/180)*((wide/2)-(16*54/12))),0)</t>
  </si>
  <si>
    <t>=IF((TAN(O3*PI()/180)*(wide/2-(16*54/12)))&gt;0,(TAN(O3*PI()/180)*(wide/2-(16*54/12))),0)</t>
  </si>
  <si>
    <t>=IF((TAN(O2*PI()/180)*((wide/2)-(24*54/12)))&gt;0,(TAN(O2*PI()/180)*((wide/2)-(24*54/12))),0)</t>
  </si>
  <si>
    <t>=IF((TAN(O2*PI()/180)*((wide/2)-(16*55/12)))&gt;0,(TAN(O2*PI()/180)*((wide/2)-(16*55/12))),0)</t>
  </si>
  <si>
    <t>=IF((TAN(O3*PI()/180)*(wide/2-(16*55/12)))&gt;0,(TAN(O3*PI()/180)*(wide/2-(16*55/12))),0)</t>
  </si>
  <si>
    <t>=IF((TAN(O2*PI()/180)*((wide/2)-(24*55/12)))&gt;0,(TAN(O2*PI()/180)*((wide/2)-(24*55/12))),0)</t>
  </si>
  <si>
    <t>=IF((TAN(O2*PI()/180)*((wide/2)-(16*56/12)))&gt;0,(TAN(O2*PI()/180)*((wide/2)-(16*56/12))),0)</t>
  </si>
  <si>
    <t>=IF((TAN(O3*PI()/180)*(wide/2-(16*56/12)))&gt;0,(TAN(O3*PI()/180)*(wide/2-(16*56/12))),0)</t>
  </si>
  <si>
    <t>=IF((TAN(O2*PI()/180)*((wide/2)-(24*56/12)))&gt;0,(TAN(O2*PI()/180)*((wide/2)-(24*56/12))),0)</t>
  </si>
  <si>
    <t>=IF((TAN(O2*PI()/180)*((wide/2)-(16*57/12)))&gt;0,(TAN(O2*PI()/180)*((wide/2)-(16*57/12))),0)</t>
  </si>
  <si>
    <t>=IF((TAN(O3*PI()/180)*(wide/2-(16*57/12)))&gt;0,(TAN(O3*PI()/180)*(wide/2-(16*57/12))),0)</t>
  </si>
  <si>
    <t>=IF((TAN(O2*PI()/180)*((wide/2)-(24*57/12)))&gt;0,(TAN(O2*PI()/180)*((wide/2)-(24*57/12))),0)</t>
  </si>
  <si>
    <t>=IF((TAN(O2*PI()/180)*((wide/2)-(16*58/12)))&gt;0,(TAN(O2*PI()/180)*((wide/2)-(16*58/12))),0)</t>
  </si>
  <si>
    <t>=IF((TAN(O3*PI()/180)*(wide/2-(16*58/12)))&gt;0,(TAN(O3*PI()/180)*(wide/2-(16*58/12))),0)</t>
  </si>
  <si>
    <t>=IF((TAN(O2*PI()/180)*((wide/2)-(24*58/12)))&gt;0,(TAN(O2*PI()/180)*((wide/2)-(24*58/12))),0)</t>
  </si>
  <si>
    <t>=IF((TAN(O2*PI()/180)*((wide/2)-(16*59/12)))&gt;0,(TAN(O2*PI()/180)*((wide/2)-(16*59/12))),0)</t>
  </si>
  <si>
    <t>=IF((TAN(O3*PI()/180)*(wide/2-(16*59/12)))&gt;0,(TAN(O3*PI()/180)*(wide/2-(16*59/12))),0)</t>
  </si>
  <si>
    <t>=IF((TAN(O2*PI()/180)*((wide/2)-(24*59/12)))&gt;0,(TAN(O2*PI()/180)*((wide/2)-(24*59/12))),0)</t>
  </si>
  <si>
    <t>=IF((TAN(O2*PI()/180)*((wide/2)-(16*60/12)))&gt;0,(TAN(O2*PI()/180)*((wide/2)-(16*60/12))),0)</t>
  </si>
  <si>
    <t>=IF((TAN(O3*PI()/180)*(wide/2-(16*60/12)))&gt;0,(TAN(O3*PI()/180)*(wide/2-(16*60/12))),0)</t>
  </si>
  <si>
    <t>=IF((TAN(O2*PI()/180)*((wide/2)-(24*60/12)))&gt;0,(TAN(O2*PI()/180)*((wide/2)-(24*60/12))),0)</t>
  </si>
  <si>
    <t>=IF((TAN(O2*PI()/180)*((wide/2)-(16*61/12)))&gt;0,(TAN(O2*PI()/180)*((wide/2)-(16*61/12))),0)</t>
  </si>
  <si>
    <t>=IF((TAN(O3*PI()/180)*(wide/2-(16*61/12)))&gt;0,(TAN(O3*PI()/180)*(wide/2-(16*61/12))),0)</t>
  </si>
  <si>
    <t>=IF((TAN(O2*PI()/180)*((wide/2)-(24*61/12)))&gt;0,(TAN(O2*PI()/180)*((wide/2)-(24*61/12))),0)</t>
  </si>
  <si>
    <t>=IF((TAN(O2*PI()/180)*((wide/2)-(16*62/12)))&gt;0,(TAN(O2*PI()/180)*((wide/2)-(16*62/12))),0)</t>
  </si>
  <si>
    <t>=IF((TAN(O3*PI()/180)*(wide/2-(16*62/12)))&gt;0,(TAN(O3*PI()/180)*(wide/2-(16*62/12))),0)</t>
  </si>
  <si>
    <t>=IF((TAN(O2*PI()/180)*((wide/2)-(24*62/12)))&gt;0,(TAN(O2*PI()/180)*((wide/2)-(24*62/12))),0)</t>
  </si>
  <si>
    <t>=IF((TAN(O2*PI()/180)*((wide/2)-(16*63/12)))&gt;0,(TAN(O2*PI()/180)*((wide/2)-(16*63/12))),0)</t>
  </si>
  <si>
    <t>=IF((TAN(O3*PI()/180)*(wide/2-(16*63/12)))&gt;0,(TAN(O3*PI()/180)*(wide/2-(16*63/12))),0)</t>
  </si>
  <si>
    <t>=IF((TAN(O2*PI()/180)*((wide/2)-(24*63/12)))&gt;0,(TAN(O2*PI()/180)*((wide/2)-(24*63/12))),0)</t>
  </si>
  <si>
    <t>=IF((TAN(O2*PI()/180)*((wide/2)-(16*64/12)))&gt;0,(TAN(O2*PI()/180)*((wide/2)-(16*64/12))),0)</t>
  </si>
  <si>
    <t>=IF((TAN(O3*PI()/180)*(wide/2-(16*64/12)))&gt;0,(TAN(O3*PI()/180)*(wide/2-(16*64/12))),0)</t>
  </si>
  <si>
    <t>=IF((TAN(O2*PI()/180)*((wide/2)-(24*64/12)))&gt;0,(TAN(O2*PI()/180)*((wide/2)-(24*64/12))),0)</t>
  </si>
  <si>
    <t>=IF((TAN(O2*PI()/180)*((wide/2)-(16*65/12)))&gt;0,(TAN(O2*PI()/180)*((wide/2)-(16*65/12))),0)</t>
  </si>
  <si>
    <t>=IF((TAN(O3*PI()/180)*(wide/2-(16*65/12)))&gt;0,(TAN(O3*PI()/180)*(wide/2-(16*65/12))),0)</t>
  </si>
  <si>
    <t>=IF((TAN(O2*PI()/180)*((wide/2)-(24*65/12)))&gt;0,(TAN(O2*PI()/180)*((wide/2)-(24*65/12))),0)</t>
  </si>
  <si>
    <t>=IF((TAN(O2*PI()/180)*((wide/2)-(16*66/12)))&gt;0,(TAN(O2*PI()/180)*((wide/2)-(16*66/12))),0)</t>
  </si>
  <si>
    <t>=IF((TAN(O3*PI()/180)*(wide/2-(16*66/12)))&gt;0,(TAN(O3*PI()/180)*(wide/2-(16*66/12))),0)</t>
  </si>
  <si>
    <t>=IF((TAN(O2*PI()/180)*((wide/2)-(24*66/12)))&gt;0,(TAN(O2*PI()/180)*((wide/2)-(24*66/12))),0)</t>
  </si>
  <si>
    <t>=IF((TAN(O2*PI()/180)*((wide/2)-(16*67/12)))&gt;0,(TAN(O2*PI()/180)*((wide/2)-(16*67/12))),0)</t>
  </si>
  <si>
    <t>=IF((TAN(O3*PI()/180)*(wide/2-(16*67/12)))&gt;0,(TAN(O3*PI()/180)*(wide/2-(16*67/12))),0)</t>
  </si>
  <si>
    <t>=IF((TAN(O2*PI()/180)*((wide/2)-(24*67/12)))&gt;0,(TAN(O2*PI()/180)*((wide/2)-(24*67/12))),0)</t>
  </si>
  <si>
    <t>=IF((TAN(O2*PI()/180)*((wide/2)-(16*68/12)))&gt;0,(TAN(O2*PI()/180)*((wide/2)-(16*68/12))),0)</t>
  </si>
  <si>
    <t>=IF((TAN(O3*PI()/180)*(wide/2-(16*68/12)))&gt;0,(TAN(O3*PI()/180)*(wide/2-(16*68/12))),0)</t>
  </si>
  <si>
    <t>=IF((TAN(O2*PI()/180)*((wide/2)-(24*68/12)))&gt;0,(TAN(O2*PI()/180)*((wide/2)-(24*68/12))),0)</t>
  </si>
  <si>
    <t>=IF((TAN(O2*PI()/180)*((wide/2)-(16*69/12)))&gt;0,(TAN(O2*PI()/180)*((wide/2)-(16*69/12))),0)</t>
  </si>
  <si>
    <t>=IF((TAN(O3*PI()/180)*(wide/2-(16*69/12)))&gt;0,(TAN(O3*PI()/180)*(wide/2-(16*69/12))),0)</t>
  </si>
  <si>
    <t>=IF((TAN(O2*PI()/180)*((wide/2)-(24*69/12)))&gt;0,(TAN(O2*PI()/180)*((wide/2)-(24*69/12))),0)</t>
  </si>
  <si>
    <t>=IF((TAN(O2*PI()/180)*((wide/2)-(16*70/12)))&gt;0,(TAN(O2*PI()/180)*((wide/2)-(16*70/12))),0)</t>
  </si>
  <si>
    <t>=IF((TAN(O3*PI()/180)*(wide/2-(16*70/12)))&gt;0,(TAN(O3*PI()/180)*(wide/2-(16*70/12))),0)</t>
  </si>
  <si>
    <t>=IF((TAN(O2*PI()/180)*((wide/2)-(24*70/12)))&gt;0,(TAN(O2*PI()/180)*((wide/2)-(24*70/12))),0)</t>
  </si>
  <si>
    <t>=IF((TAN(O2*PI()/180)*((wide/2)-(16*71/12)))&gt;0,(TAN(O2*PI()/180)*((wide/2)-(16*71/12))),0)</t>
  </si>
  <si>
    <t>=IF((TAN(O3*PI()/180)*(wide/2-(16*71/12)))&gt;0,(TAN(O3*PI()/180)*(wide/2-(16*71/12))),0)</t>
  </si>
  <si>
    <t>=IF((TAN(O2*PI()/180)*((wide/2)-(24*71/12)))&gt;0,(TAN(O2*PI()/180)*((wide/2)-(24*71/12))),0)</t>
  </si>
  <si>
    <t>=IF((TAN(O2*PI()/180)*((wide/2)-(16*72/12)))&gt;0,(TAN(O2*PI()/180)*((wide/2)-(16*72/12))),0)</t>
  </si>
  <si>
    <t>=IF((TAN(O3*PI()/180)*(wide/2-(16*72/12)))&gt;0,(TAN(O3*PI()/180)*(wide/2-(16*72/12))),0)</t>
  </si>
  <si>
    <t>=IF((TAN(O2*PI()/180)*((wide/2)-(24*72/12)))&gt;0,(TAN(O2*PI()/180)*((wide/2)-(24*72/12))),0)</t>
  </si>
  <si>
    <t>=IF((TAN(O2*PI()/180)*((wide/2)-(16*73/12)))&gt;0,(TAN(O2*PI()/180)*((wide/2)-(16*73/12))),0)</t>
  </si>
  <si>
    <t>=IF((TAN(O3*PI()/180)*(wide/2-(16*73/12)))&gt;0,(TAN(O3*PI()/180)*(wide/2-(16*73/12))),0)</t>
  </si>
  <si>
    <t>=IF((TAN(O2*PI()/180)*((wide/2)-(24*73/12)))&gt;0,(TAN(O2*PI()/180)*((wide/2)-(24*73/12))),0)</t>
  </si>
  <si>
    <t>=IF((TAN(O2*PI()/180)*((wide/2)-(16*74/12)))&gt;0,(TAN(O2*PI()/180)*((wide/2)-(16*74/12))),0)</t>
  </si>
  <si>
    <t>=IF((TAN(O3*PI()/180)*(wide/2-(16*74/12)))&gt;0,(TAN(O3*PI()/180)*(wide/2-(16*74/12))),0)</t>
  </si>
  <si>
    <t>=IF((TAN(O2*PI()/180)*((wide/2)-(24*74/12)))&gt;0,(TAN(O2*PI()/180)*((wide/2)-(24*74/12))),0)</t>
  </si>
  <si>
    <t>=IF((TAN(O2*PI()/180)*((wide/2)-(16*75/12)))&gt;0,(TAN(O2*PI()/180)*((wide/2)-(16*75/12))),0)</t>
  </si>
  <si>
    <t>=IF((TAN(O3*PI()/180)*(wide/2-(16*75/12)))&gt;0,(TAN(O3*PI()/180)*(wide/2-(16*75/12))),0)</t>
  </si>
  <si>
    <t>=IF((TAN(O2*PI()/180)*((wide/2)-(24*75/12)))&gt;0,(TAN(O2*PI()/180)*((wide/2)-(24*75/12))),0)</t>
  </si>
  <si>
    <t>=IF((TAN(O2*PI()/180)*((wide/2)-(16*76/12)))&gt;0,(TAN(O2*PI()/180)*((wide/2)-(16*76/12))),0)</t>
  </si>
  <si>
    <t>=IF((TAN(O3*PI()/180)*(wide/2-(16*76/12)))&gt;0,(TAN(O3*PI()/180)*(wide/2-(16*76/12))),0)</t>
  </si>
  <si>
    <t>=IF((TAN(O2*PI()/180)*((wide/2)-(24*76/12)))&gt;0,(TAN(O2*PI()/180)*((wide/2)-(24*76/12))),0)</t>
  </si>
  <si>
    <t>=IF((TAN(O2*PI()/180)*((wide/2)-(16*77/12)))&gt;0,(TAN(O2*PI()/180)*((wide/2)-(16*77/12))),0)</t>
  </si>
  <si>
    <t>=IF((TAN(O3*PI()/180)*(wide/2-(16*77/12)))&gt;0,(TAN(O3*PI()/180)*(wide/2-(16*77/12))),0)</t>
  </si>
  <si>
    <t>=IF((TAN(O2*PI()/180)*((wide/2)-(24*77/12)))&gt;0,(TAN(O2*PI()/180)*((wide/2)-(24*77/12))),0)</t>
  </si>
  <si>
    <t>=IF((TAN(O2*PI()/180)*((wide/2)-(16*78/12)))&gt;0,(TAN(O2*PI()/180)*((wide/2)-(16*78/12))),0)</t>
  </si>
  <si>
    <t>=IF((TAN(O3*PI()/180)*(wide/2-(16*78/12)))&gt;0,(TAN(O3*PI()/180)*(wide/2-(16*78/12))),0)</t>
  </si>
  <si>
    <t>=IF((TAN(O2*PI()/180)*((wide/2)-(24*78/12)))&gt;0,(TAN(O2*PI()/180)*((wide/2)-(24*78/12))),0)</t>
  </si>
  <si>
    <t>=IF((TAN(O2*PI()/180)*((wide/2)-(16*79/12)))&gt;0,(TAN(O2*PI()/180)*((wide/2)-(16*79/12))),0)</t>
  </si>
  <si>
    <t>=IF((TAN(O3*PI()/180)*(wide/2-(16*79/12)))&gt;0,(TAN(O3*PI()/180)*(wide/2-(16*79/12))),0)</t>
  </si>
  <si>
    <t>=IF((TAN(O2*PI()/180)*((wide/2)-(24*79/12)))&gt;0,(TAN(O2*PI()/180)*((wide/2)-(24*79/12))),0)</t>
  </si>
  <si>
    <t>=IF((TAN(O2*PI()/180)*((wide/2)-(16*80/12)))&gt;0,(TAN(O2*PI()/180)*((wide/2)-(16*80/12))),0)</t>
  </si>
  <si>
    <t>=IF((TAN(O3*PI()/180)*(wide/2-(16*80/12)))&gt;0,(TAN(O3*PI()/180)*(wide/2-(16*80/12))),0)</t>
  </si>
  <si>
    <t>=IF((TAN(O2*PI()/180)*((wide/2)-(24*80/12)))&gt;0,(TAN(O2*PI()/180)*((wide/2)-(24*80/12))),0)</t>
  </si>
  <si>
    <t>=IF((TAN(O2*PI()/180)*((wide/2)-(16*81/12)))&gt;0,(TAN(O2*PI()/180)*((wide/2)-(16*81/12))),0)</t>
  </si>
  <si>
    <t>=IF((TAN(O3*PI()/180)*(wide/2-(16*81/12)))&gt;0,(TAN(O3*PI()/180)*(wide/2-(16*81/12))),0)</t>
  </si>
  <si>
    <t>=IF((TAN(O2*PI()/180)*((wide/2)-(24*81/12)))&gt;0,(TAN(O2*PI()/180)*((wide/2)-(24*81/12))),0)</t>
  </si>
  <si>
    <t>=IF((TAN(O2*PI()/180)*((wide/2)-(16*82/12)))&gt;0,(TAN(O2*PI()/180)*((wide/2)-(16*82/12))),0)</t>
  </si>
  <si>
    <t>=IF((TAN(O3*PI()/180)*(wide/2-(16*82/12)))&gt;0,(TAN(O3*PI()/180)*(wide/2-(16*82/12))),0)</t>
  </si>
  <si>
    <t>=IF((TAN(O2*PI()/180)*((wide/2)-(24*82/12)))&gt;0,(TAN(O2*PI()/180)*((wide/2)-(24*82/12))),0)</t>
  </si>
  <si>
    <t>=IF((TAN(O2*PI()/180)*((wide/2)-(16*83/12)))&gt;0,(TAN(O2*PI()/180)*((wide/2)-(16*83/12))),0)</t>
  </si>
  <si>
    <t>=IF((TAN(O3*PI()/180)*(wide/2-(16*83/12)))&gt;0,(TAN(O3*PI()/180)*(wide/2-(16*83/12))),0)</t>
  </si>
  <si>
    <t>=IF((TAN(O2*PI()/180)*((wide/2)-(24*83/12)))&gt;0,(TAN(O2*PI()/180)*((wide/2)-(24*83/12))),0)</t>
  </si>
  <si>
    <t>=IF((TAN(O2*PI()/180)*((wide/2)-(16*84/12)))&gt;0,(TAN(O2*PI()/180)*((wide/2)-(16*84/12))),0)</t>
  </si>
  <si>
    <t>=IF((TAN(O3*PI()/180)*(wide/2-(16*84/12)))&gt;0,(TAN(O3*PI()/180)*(wide/2-(16*84/12))),0)</t>
  </si>
  <si>
    <t>=IF((TAN(O2*PI()/180)*((wide/2)-(24*84/12)))&gt;0,(TAN(O2*PI()/180)*((wide/2)-(24*84/12))),0)</t>
  </si>
  <si>
    <t>=IF((TAN(O2*PI()/180)*((wide/2)-(16*85/12)))&gt;0,(TAN(O2*PI()/180)*((wide/2)-(16*85/12))),0)</t>
  </si>
  <si>
    <t>=IF((TAN(O3*PI()/180)*(wide/2-(16*85/12)))&gt;0,(TAN(O3*PI()/180)*(wide/2-(16*85/12))),0)</t>
  </si>
  <si>
    <t>=IF((TAN(O2*PI()/180)*((wide/2)-(24*85/12)))&gt;0,(TAN(O2*PI()/180)*((wide/2)-(24*85/12))),0)</t>
  </si>
  <si>
    <t>=IF((TAN(O2*PI()/180)*((wide/2)-(16*86/12)))&gt;0,(TAN(O2*PI()/180)*((wide/2)-(16*86/12))),0)</t>
  </si>
  <si>
    <t>=IF((TAN(O3*PI()/180)*(wide/2-(16*86/12)))&gt;0,(TAN(O3*PI()/180)*(wide/2-(16*86/12))),0)</t>
  </si>
  <si>
    <t>=IF((TAN(O2*PI()/180)*((wide/2)-(24*86/12)))&gt;0,(TAN(O2*PI()/180)*((wide/2)-(24*86/12))),0)</t>
  </si>
  <si>
    <t>=IF((TAN(O2*PI()/180)*((wide/2)-(16*87/12)))&gt;0,(TAN(O2*PI()/180)*((wide/2)-(16*87/12))),0)</t>
  </si>
  <si>
    <t>=IF((TAN(O3*PI()/180)*(wide/2-(16*87/12)))&gt;0,(TAN(O3*PI()/180)*(wide/2-(16*87/12))),0)</t>
  </si>
  <si>
    <t>=IF((TAN(O2*PI()/180)*((wide/2)-(24*87/12)))&gt;0,(TAN(O2*PI()/180)*((wide/2)-(24*87/12))),0)</t>
  </si>
  <si>
    <t>=IF((TAN(O2*PI()/180)*((wide/2)-(16*88/12)))&gt;0,(TAN(O2*PI()/180)*((wide/2)-(16*88/12))),0)</t>
  </si>
  <si>
    <t>=IF((TAN(O3*PI()/180)*(wide/2-(16*88/12)))&gt;0,(TAN(O3*PI()/180)*(wide/2-(16*88/12))),0)</t>
  </si>
  <si>
    <t>=IF((TAN(O2*PI()/180)*((wide/2)-(24*88/12)))&gt;0,(TAN(O2*PI()/180)*((wide/2)-(24*88/12))),0)</t>
  </si>
  <si>
    <t>=IF((TAN(O2*PI()/180)*((wide/2)-(16*89/12)))&gt;0,(TAN(O2*PI()/180)*((wide/2)-(16*89/12))),0)</t>
  </si>
  <si>
    <t>=IF((TAN(O3*PI()/180)*(wide/2-(16*89/12)))&gt;0,(TAN(O3*PI()/180)*(wide/2-(16*89/12))),0)</t>
  </si>
  <si>
    <t>=IF((TAN(O2*PI()/180)*((wide/2)-(24*89/12)))&gt;0,(TAN(O2*PI()/180)*((wide/2)-(24*89/12))),0)</t>
  </si>
  <si>
    <t>=IF((TAN(O2*PI()/180)*((wide/2)-(16*90/12)))&gt;0,(TAN(O2*PI()/180)*((wide/2)-(16*90/12))),0)</t>
  </si>
  <si>
    <t>=IF((TAN(O3*PI()/180)*(wide/2-(16*90/12)))&gt;0,(TAN(O3*PI()/180)*(wide/2-(16*90/12))),0)</t>
  </si>
  <si>
    <t>=IF((TAN(O2*PI()/180)*((wide/2)-(24*90/12)))&gt;0,(TAN(O2*PI()/180)*((wide/2)-(24*90/12))),0)</t>
  </si>
  <si>
    <t>=IF((TAN(O2*PI()/180)*((wide/2)-(16*91/12)))&gt;0,(TAN(O2*PI()/180)*((wide/2)-(16*91/12))),0)</t>
  </si>
  <si>
    <t>=IF((TAN(O3*PI()/180)*(wide/2-(16*91/12)))&gt;0,(TAN(O3*PI()/180)*(wide/2-(16*91/12))),0)</t>
  </si>
  <si>
    <t>=IF((TAN(O2*PI()/180)*((wide/2)-(24*91/12)))&gt;0,(TAN(O2*PI()/180)*((wide/2)-(24*91/12))),0)</t>
  </si>
  <si>
    <t>=IF((TAN(O2*PI()/180)*((wide/2)-(16*92/12)))&gt;0,(TAN(O2*PI()/180)*((wide/2)-(16*92/12))),0)</t>
  </si>
  <si>
    <t>=IF((TAN(O3*PI()/180)*(wide/2-(16*92/12)))&gt;0,(TAN(O3*PI()/180)*(wide/2-(16*92/12))),0)</t>
  </si>
  <si>
    <t>=IF((TAN(O2*PI()/180)*((wide/2)-(24*92/12)))&gt;0,(TAN(O2*PI()/180)*((wide/2)-(24*92/12))),0)</t>
  </si>
  <si>
    <t>=IF((TAN(O2*PI()/180)*((wide/2)-(16*93/12)))&gt;0,(TAN(O2*PI()/180)*((wide/2)-(16*93/12))),0)</t>
  </si>
  <si>
    <t>=IF((TAN(O3*PI()/180)*(wide/2-(16*93/12)))&gt;0,(TAN(O3*PI()/180)*(wide/2-(16*93/12))),0)</t>
  </si>
  <si>
    <t>=IF((TAN(O2*PI()/180)*((wide/2)-(24*93/12)))&gt;0,(TAN(O2*PI()/180)*((wide/2)-(24*93/12))),0)</t>
  </si>
  <si>
    <t>=IF((TAN(O2*PI()/180)*((wide/2)-(16*94/12)))&gt;0,(TAN(O2*PI()/180)*((wide/2)-(16*94/12))),0)</t>
  </si>
  <si>
    <t>=IF((TAN(O3*PI()/180)*(wide/2-(16*94/12)))&gt;0,(TAN(O3*PI()/180)*(wide/2-(16*94/12))),0)</t>
  </si>
  <si>
    <t>=IF((TAN(O2*PI()/180)*((wide/2)-(24*94/12)))&gt;0,(TAN(O2*PI()/180)*((wide/2)-(24*94/12))),0)</t>
  </si>
  <si>
    <t>=IF((TAN(O2*PI()/180)*((wide/2)-(16*95/12)))&gt;0,(TAN(O2*PI()/180)*((wide/2)-(16*95/12))),0)</t>
  </si>
  <si>
    <t>=IF((TAN(O3*PI()/180)*(wide/2-(16*95/12)))&gt;0,(TAN(O3*PI()/180)*(wide/2-(16*95/12))),0)</t>
  </si>
  <si>
    <t>=IF((TAN(O2*PI()/180)*((wide/2)-(24*95/12)))&gt;0,(TAN(O2*PI()/180)*((wide/2)-(24*95/12))),0)</t>
  </si>
  <si>
    <t>=IF((TAN(O2*PI()/180)*((wide/2)-(16*96/12)))&gt;0,(TAN(O2*PI()/180)*((wide/2)-(16*96/12))),0)</t>
  </si>
  <si>
    <t>=IF((TAN(O3*PI()/180)*(wide/2-(16*96/12)))&gt;0,(TAN(O3*PI()/180)*(wide/2-(16*96/12))),0)</t>
  </si>
  <si>
    <t>=IF((TAN(O2*PI()/180)*((wide/2)-(24*96/12)))&gt;0,(TAN(O2*PI()/180)*((wide/2)-(24*96/12))),0)</t>
  </si>
  <si>
    <t>=IF((TAN(O2*PI()/180)*((wide/2)-(16*97/12)))&gt;0,(TAN(O2*PI()/180)*((wide/2)-(16*97/12))),0)</t>
  </si>
  <si>
    <t>=IF((TAN(O3*PI()/180)*(wide/2-(16*97/12)))&gt;0,(TAN(O3*PI()/180)*(wide/2-(16*97/12))),0)</t>
  </si>
  <si>
    <t>=IF((TAN(O2*PI()/180)*((wide/2)-(24*97/12)))&gt;0,(TAN(O2*PI()/180)*((wide/2)-(24*97/12))),0)</t>
  </si>
  <si>
    <t>=IF((TAN(O2*PI()/180)*((wide/2)-(16*98/12)))&gt;0,(TAN(O2*PI()/180)*((wide/2)-(16*98/12))),0)</t>
  </si>
  <si>
    <t>=IF((TAN(O3*PI()/180)*(wide/2-(16*98/12)))&gt;0,(TAN(O3*PI()/180)*(wide/2-(16*98/12))),0)</t>
  </si>
  <si>
    <t>=IF((TAN(O2*PI()/180)*((wide/2)-(24*98/12)))&gt;0,(TAN(O2*PI()/180)*((wide/2)-(24*98/12))),0)</t>
  </si>
  <si>
    <t>=IF((TAN(O2*PI()/180)*((wide/2)-(16*99/12)))&gt;0,(TAN(O2*PI()/180)*((wide/2)-(16*99/12))),0)</t>
  </si>
  <si>
    <t>=IF((TAN(O3*PI()/180)*(wide/2-(16*99/12)))&gt;0,(TAN(O3*PI()/180)*(wide/2-(16*99/12))),0)</t>
  </si>
  <si>
    <t>=IF((TAN(O2*PI()/180)*((wide/2)-(24*99/12)))&gt;0,(TAN(O2*PI()/180)*((wide/2)-(24*99/12))),0)</t>
  </si>
  <si>
    <t>=IF((TAN(O2*PI()/180)*((wide/2)-(16*100/12)))&gt;0,(TAN(O2*PI()/180)*((wide/2)-(16*100/12))),0)</t>
  </si>
  <si>
    <t>=IF((TAN(O3*PI()/180)*(wide/2-(16*100/12)))&gt;0,(TAN(O3*PI()/180)*(wide/2-(16*100/12))),0)</t>
  </si>
  <si>
    <t>=IF((TAN(O2*PI()/180)*((wide/2)-(24*100/12)))&gt;0,(TAN(O2*PI()/180)*((wide/2)-(24*100/12))),0)</t>
  </si>
  <si>
    <t>=IF((TAN(O2*PI()/180)*((wide/2)-(16*101/12)))&gt;0,(TAN(O2*PI()/180)*((wide/2)-(16*101/12))),0)</t>
  </si>
  <si>
    <t>=IF((TAN(O3*PI()/180)*(wide/2-(16*101/12)))&gt;0,(TAN(O3*PI()/180)*(wide/2-(16*101/12))),0)</t>
  </si>
  <si>
    <t>=IF((TAN(O2*PI()/180)*((wide/2)-(24*101/12)))&gt;0,(TAN(O2*PI()/180)*((wide/2)-(24*101/12))),0)</t>
  </si>
  <si>
    <t>=IF((TAN(O2*PI()/180)*((wide/2)-(16*102/12)))&gt;0,(TAN(O2*PI()/180)*((wide/2)-(16*102/12))),0)</t>
  </si>
  <si>
    <t>=IF((TAN(O3*PI()/180)*(wide/2-(16*102/12)))&gt;0,(TAN(O3*PI()/180)*(wide/2-(16*102/12))),0)</t>
  </si>
  <si>
    <t>=IF((TAN(O2*PI()/180)*((wide/2)-(24*102/12)))&gt;0,(TAN(O2*PI()/180)*((wide/2)-(24*102/12))),0)</t>
  </si>
  <si>
    <t>=IF((TAN(O2*PI()/180)*((wide/2)-(16*103/12)))&gt;0,(TAN(O2*PI()/180)*((wide/2)-(16*103/12))),0)</t>
  </si>
  <si>
    <t>=IF((TAN(O3*PI()/180)*(wide/2-(16*103/12)))&gt;0,(TAN(O3*PI()/180)*(wide/2-(16*103/12))),0)</t>
  </si>
  <si>
    <t>=IF((TAN(O2*PI()/180)*((wide/2)-(24*103/12)))&gt;0,(TAN(O2*PI()/180)*((wide/2)-(24*103/12))),0)</t>
  </si>
  <si>
    <t>=IF((TAN(O2*PI()/180)*((wide/2)-(16*104/12)))&gt;0,(TAN(O2*PI()/180)*((wide/2)-(16*104/12))),0)</t>
  </si>
  <si>
    <t>=IF((TAN(O3*PI()/180)*(wide/2-(16*104/12)))&gt;0,(TAN(O3*PI()/180)*(wide/2-(16*104/12))),0)</t>
  </si>
  <si>
    <t>=IF((TAN(O2*PI()/180)*((wide/2)-(24*104/12)))&gt;0,(TAN(O2*PI()/180)*((wide/2)-(24*104/12))),0)</t>
  </si>
  <si>
    <t>=IF((TAN(O2*PI()/180)*((wide/2)-(16*105/12)))&gt;0,(TAN(O2*PI()/180)*((wide/2)-(16*105/12))),0)</t>
  </si>
  <si>
    <t>=IF((TAN(O3*PI()/180)*(wide/2-(16*105/12)))&gt;0,(TAN(O3*PI()/180)*(wide/2-(16*105/12))),0)</t>
  </si>
  <si>
    <t>=IF((TAN(O2*PI()/180)*((wide/2)-(24*105/12)))&gt;0,(TAN(O2*PI()/180)*((wide/2)-(24*105/12))),0)</t>
  </si>
  <si>
    <t>=IF((TAN(O2*PI()/180)*((wide/2)-(16*106/12)))&gt;0,(TAN(O2*PI()/180)*((wide/2)-(16*106/12))),0)</t>
  </si>
  <si>
    <t>=IF((TAN(O3*PI()/180)*(wide/2-(16*106/12)))&gt;0,(TAN(O3*PI()/180)*(wide/2-(16*106/12))),0)</t>
  </si>
  <si>
    <t>=IF((TAN(O2*PI()/180)*((wide/2)-(24*106/12)))&gt;0,(TAN(O2*PI()/180)*((wide/2)-(24*106/12))),0)</t>
  </si>
  <si>
    <t>=IF((TAN(O2*PI()/180)*((wide/2)-(16*107/12)))&gt;0,(TAN(O2*PI()/180)*((wide/2)-(16*107/12))),0)</t>
  </si>
  <si>
    <t>=IF((TAN(O3*PI()/180)*(wide/2-(16*107/12)))&gt;0,(TAN(O3*PI()/180)*(wide/2-(16*107/12))),0)</t>
  </si>
  <si>
    <t>=IF((TAN(O2*PI()/180)*((wide/2)-(24*107/12)))&gt;0,(TAN(O2*PI()/180)*((wide/2)-(24*107/12))),0)</t>
  </si>
  <si>
    <t>=IF((TAN(O2*PI()/180)*((wide/2)-(16*108/12)))&gt;0,(TAN(O2*PI()/180)*((wide/2)-(16*108/12))),0)</t>
  </si>
  <si>
    <t>=IF((TAN(O3*PI()/180)*(wide/2-(16*108/12)))&gt;0,(TAN(O3*PI()/180)*(wide/2-(16*108/12))),0)</t>
  </si>
  <si>
    <t>=IF((TAN(O2*PI()/180)*((wide/2)-(24*108/12)))&gt;0,(TAN(O2*PI()/180)*((wide/2)-(24*108/12))),0)</t>
  </si>
  <si>
    <t>=IF((TAN(O2*PI()/180)*((wide/2)-(16*109/12)))&gt;0,(TAN(O2*PI()/180)*((wide/2)-(16*109/12))),0)</t>
  </si>
  <si>
    <t>=IF((TAN(O3*PI()/180)*(wide/2-(16*109/12)))&gt;0,(TAN(O3*PI()/180)*(wide/2-(16*109/12))),0)</t>
  </si>
  <si>
    <t>=IF((TAN(O2*PI()/180)*((wide/2)-(24*109/12)))&gt;0,(TAN(O2*PI()/180)*((wide/2)-(24*109/12))),0)</t>
  </si>
  <si>
    <t>=IF((TAN(O2*PI()/180)*((wide/2)-(16*110/12)))&gt;0,(TAN(O2*PI()/180)*((wide/2)-(16*110/12))),0)</t>
  </si>
  <si>
    <t>=IF((TAN(O3*PI()/180)*(wide/2-(16*110/12)))&gt;0,(TAN(O3*PI()/180)*(wide/2-(16*110/12))),0)</t>
  </si>
  <si>
    <t>=IF((TAN(O2*PI()/180)*((wide/2)-(24*110/12)))&gt;0,(TAN(O2*PI()/180)*((wide/2)-(24*110/12))),0)</t>
  </si>
  <si>
    <t>Cost modifier</t>
  </si>
  <si>
    <t>wide</t>
  </si>
  <si>
    <t>floor</t>
  </si>
  <si>
    <t>Story Height multiplier</t>
  </si>
  <si>
    <t>Wall (height)</t>
  </si>
  <si>
    <t>source: RSMeans</t>
  </si>
  <si>
    <t>length</t>
  </si>
  <si>
    <t>surface</t>
  </si>
  <si>
    <t>source: Michigan</t>
  </si>
  <si>
    <t>floor+surface+cone</t>
  </si>
  <si>
    <t>warehouse</t>
  </si>
  <si>
    <t>typical</t>
  </si>
  <si>
    <t>Size factor</t>
  </si>
  <si>
    <t>Average Wall(eave)</t>
  </si>
  <si>
    <t>Cost multiplier</t>
  </si>
  <si>
    <t>S.F. multiplier</t>
  </si>
  <si>
    <t>Extend</t>
  </si>
  <si>
    <t>size factor</t>
  </si>
  <si>
    <t>cost multiplier</t>
  </si>
  <si>
    <t>Base</t>
  </si>
  <si>
    <t>size</t>
  </si>
  <si>
    <t>C.F. cost</t>
  </si>
  <si>
    <t>DOOR</t>
  </si>
  <si>
    <t>WALLHIGH</t>
  </si>
  <si>
    <t>EM</t>
  </si>
  <si>
    <t>OS</t>
  </si>
  <si>
    <t>ADTOT</t>
  </si>
  <si>
    <t>SF</t>
  </si>
  <si>
    <t>ADSF</t>
  </si>
  <si>
    <t>CF</t>
  </si>
  <si>
    <t>Dependent Variable: ADTOT</t>
  </si>
  <si>
    <t>Method: Least Squares</t>
  </si>
  <si>
    <t>Date: 03/15/11   Time: 15:15</t>
  </si>
  <si>
    <t>Sample: 1 136</t>
  </si>
  <si>
    <t>Included observations: 136</t>
  </si>
  <si>
    <t>Variable</t>
  </si>
  <si>
    <t>Coefficient</t>
  </si>
  <si>
    <t>Std. Error</t>
  </si>
  <si>
    <t>t-Statistic</t>
  </si>
  <si>
    <t xml:space="preserve">Prob.  </t>
  </si>
  <si>
    <t>C</t>
  </si>
  <si>
    <t>WIDTH*LENGTH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</si>
  <si>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</si>
  <si>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</si>
  <si>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</si>
  <si>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</si>
  <si>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</si>
  <si>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</si>
  <si>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</si>
  <si>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</si>
  <si>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</si>
  <si>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F-statistic</t>
  </si>
  <si>
    <t>Durbin-Watson stat</t>
  </si>
  <si>
    <t xml:space="preserve">    Prob(F-statistic)</t>
  </si>
  <si>
    <t>AREA</t>
  </si>
  <si>
    <t>ELEC</t>
  </si>
  <si>
    <t>FLOOR</t>
  </si>
  <si>
    <t>LENGTH</t>
  </si>
  <si>
    <t>NUM</t>
  </si>
  <si>
    <t>OFFICE</t>
  </si>
  <si>
    <t>ROOF</t>
  </si>
  <si>
    <t>TOT</t>
  </si>
  <si>
    <t>WALL</t>
  </si>
  <si>
    <t>WIDTH</t>
  </si>
  <si>
    <t>Input warehouse size (options)_Version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</si>
</sst>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0.0"/>
    <numFmt numFmtId="169" formatCode="_(* #,##0_);_(* \(#,##0\);_(* &quot;-&quot;??_);_(@_)"/>
    <numFmt numFmtId="170" formatCode="0.00000"/>
    <numFmt numFmtId="171" formatCode="&quot;$&quot;#,##0"/>
    <numFmt numFmtId="172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0" fillId="2" borderId="6" xfId="0" applyFill="1" applyBorder="1" applyAlignment="1">
      <alignment horizontal="center" vertical="center"/>
    </xf>
    <xf numFmtId="165" fontId="0" fillId="0" borderId="0" xfId="0" applyNumberFormat="1"/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2" fillId="4" borderId="8" xfId="0" applyFont="1" applyFill="1" applyBorder="1"/>
    <xf numFmtId="166" fontId="2" fillId="2" borderId="9" xfId="2" applyNumberFormat="1" applyFont="1" applyFill="1" applyBorder="1" applyAlignment="1">
      <alignment horizontal="center" vertical="center"/>
    </xf>
    <xf numFmtId="166" fontId="2" fillId="2" borderId="10" xfId="2" applyNumberFormat="1" applyFont="1" applyFill="1" applyBorder="1" applyAlignment="1">
      <alignment horizontal="center" vertical="center"/>
    </xf>
    <xf numFmtId="167" fontId="3" fillId="3" borderId="11" xfId="2" applyNumberFormat="1" applyFont="1" applyFill="1" applyBorder="1"/>
    <xf numFmtId="164" fontId="0" fillId="0" borderId="0" xfId="0" applyNumberFormat="1"/>
    <xf numFmtId="0" fontId="2" fillId="4" borderId="4" xfId="0" applyFont="1" applyFill="1" applyBorder="1"/>
    <xf numFmtId="166" fontId="2" fillId="2" borderId="5" xfId="2" applyNumberFormat="1" applyFont="1" applyFill="1" applyBorder="1" applyAlignment="1">
      <alignment horizontal="center" vertical="center"/>
    </xf>
    <xf numFmtId="166" fontId="2" fillId="2" borderId="6" xfId="2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0" borderId="0" xfId="0" applyFont="1"/>
    <xf numFmtId="0" fontId="4" fillId="0" borderId="0" xfId="0" applyFont="1" applyFill="1"/>
    <xf numFmtId="169" fontId="0" fillId="0" borderId="0" xfId="1" applyNumberFormat="1" applyFont="1"/>
    <xf numFmtId="170" fontId="0" fillId="0" borderId="0" xfId="0" applyNumberFormat="1"/>
    <xf numFmtId="0" fontId="2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4" fillId="3" borderId="0" xfId="0" applyFont="1" applyFill="1"/>
    <xf numFmtId="169" fontId="0" fillId="3" borderId="0" xfId="1" applyNumberFormat="1" applyFont="1" applyFill="1"/>
    <xf numFmtId="170" fontId="0" fillId="3" borderId="0" xfId="0" applyNumberFormat="1" applyFill="1"/>
    <xf numFmtId="0" fontId="2" fillId="5" borderId="0" xfId="0" applyFont="1" applyFill="1" applyBorder="1"/>
    <xf numFmtId="0" fontId="0" fillId="5" borderId="0" xfId="0" applyFill="1" applyBorder="1"/>
    <xf numFmtId="165" fontId="0" fillId="5" borderId="0" xfId="0" applyNumberFormat="1" applyFill="1" applyBorder="1" applyAlignment="1">
      <alignment horizontal="left" vertical="center"/>
    </xf>
    <xf numFmtId="0" fontId="0" fillId="6" borderId="0" xfId="0" applyFill="1" applyBorder="1"/>
    <xf numFmtId="0" fontId="0" fillId="6" borderId="0" xfId="0" applyFill="1"/>
    <xf numFmtId="0" fontId="4" fillId="6" borderId="0" xfId="0" applyFont="1" applyFill="1"/>
    <xf numFmtId="165" fontId="0" fillId="6" borderId="0" xfId="0" applyNumberFormat="1" applyFill="1" applyBorder="1"/>
    <xf numFmtId="2" fontId="0" fillId="6" borderId="0" xfId="0" applyNumberFormat="1" applyFill="1"/>
    <xf numFmtId="0" fontId="0" fillId="5" borderId="0" xfId="0" quotePrefix="1" applyFill="1" applyBorder="1"/>
    <xf numFmtId="0" fontId="0" fillId="3" borderId="0" xfId="0" quotePrefix="1" applyFill="1" applyBorder="1"/>
    <xf numFmtId="2" fontId="0" fillId="3" borderId="0" xfId="0" applyNumberFormat="1" applyFill="1"/>
    <xf numFmtId="168" fontId="0" fillId="6" borderId="0" xfId="0" applyNumberFormat="1" applyFill="1" applyBorder="1"/>
    <xf numFmtId="171" fontId="0" fillId="6" borderId="0" xfId="0" applyNumberFormat="1" applyFill="1"/>
    <xf numFmtId="12" fontId="0" fillId="6" borderId="0" xfId="0" applyNumberFormat="1" applyFill="1" applyAlignment="1">
      <alignment horizontal="right" vertical="center"/>
    </xf>
    <xf numFmtId="6" fontId="2" fillId="6" borderId="0" xfId="0" applyNumberFormat="1" applyFont="1" applyFill="1" applyAlignment="1">
      <alignment horizontal="center" vertical="top" wrapText="1"/>
    </xf>
    <xf numFmtId="171" fontId="0" fillId="3" borderId="0" xfId="0" applyNumberFormat="1" applyFill="1"/>
    <xf numFmtId="12" fontId="0" fillId="3" borderId="0" xfId="0" applyNumberFormat="1" applyFill="1" applyAlignment="1">
      <alignment horizontal="right" vertical="center"/>
    </xf>
    <xf numFmtId="6" fontId="2" fillId="3" borderId="0" xfId="0" applyNumberFormat="1" applyFont="1" applyFill="1" applyAlignment="1">
      <alignment horizontal="center" vertical="top" wrapText="1"/>
    </xf>
    <xf numFmtId="0" fontId="2" fillId="4" borderId="0" xfId="0" applyFont="1" applyFill="1" applyBorder="1"/>
    <xf numFmtId="0" fontId="0" fillId="4" borderId="0" xfId="0" applyFill="1" applyBorder="1"/>
    <xf numFmtId="10" fontId="0" fillId="4" borderId="0" xfId="3" applyNumberFormat="1" applyFont="1" applyFill="1" applyBorder="1"/>
    <xf numFmtId="10" fontId="0" fillId="6" borderId="0" xfId="3" applyNumberFormat="1" applyFont="1" applyFill="1" applyBorder="1"/>
    <xf numFmtId="0" fontId="2" fillId="6" borderId="0" xfId="0" applyFont="1" applyFill="1" applyBorder="1"/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/>
    <xf numFmtId="12" fontId="0" fillId="0" borderId="0" xfId="0" applyNumberFormat="1" applyFill="1" applyAlignment="1">
      <alignment horizontal="right" vertical="center"/>
    </xf>
    <xf numFmtId="6" fontId="2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/>
    <xf numFmtId="2" fontId="2" fillId="0" borderId="0" xfId="0" applyNumberFormat="1" applyFont="1"/>
    <xf numFmtId="12" fontId="2" fillId="0" borderId="0" xfId="0" applyNumberFormat="1" applyFont="1" applyAlignment="1">
      <alignment horizontal="right" vertical="center"/>
    </xf>
    <xf numFmtId="6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Fill="1" applyBorder="1"/>
    <xf numFmtId="2" fontId="0" fillId="0" borderId="0" xfId="0" applyNumberFormat="1"/>
    <xf numFmtId="2" fontId="0" fillId="0" borderId="0" xfId="0" quotePrefix="1" applyNumberFormat="1"/>
    <xf numFmtId="2" fontId="0" fillId="0" borderId="0" xfId="0" applyNumberFormat="1" applyFill="1" applyBorder="1"/>
    <xf numFmtId="2" fontId="0" fillId="0" borderId="0" xfId="0" quotePrefix="1" applyNumberFormat="1" applyFill="1" applyBorder="1"/>
    <xf numFmtId="2" fontId="0" fillId="0" borderId="0" xfId="0" applyNumberFormat="1" applyAlignment="1">
      <alignment horizontal="right" vertical="center"/>
    </xf>
    <xf numFmtId="2" fontId="2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/>
    </xf>
    <xf numFmtId="168" fontId="0" fillId="0" borderId="0" xfId="0" applyNumberFormat="1"/>
    <xf numFmtId="0" fontId="2" fillId="5" borderId="0" xfId="0" applyFont="1" applyFill="1" applyAlignment="1">
      <alignment horizontal="left"/>
    </xf>
    <xf numFmtId="0" fontId="0" fillId="5" borderId="0" xfId="0" applyFill="1"/>
    <xf numFmtId="165" fontId="0" fillId="5" borderId="0" xfId="0" applyNumberFormat="1" applyFill="1"/>
    <xf numFmtId="0" fontId="2" fillId="5" borderId="0" xfId="0" applyFont="1" applyFill="1"/>
    <xf numFmtId="2" fontId="0" fillId="5" borderId="0" xfId="0" applyNumberFormat="1" applyFill="1"/>
    <xf numFmtId="2" fontId="2" fillId="5" borderId="0" xfId="0" applyNumberFormat="1" applyFont="1" applyFill="1"/>
    <xf numFmtId="165" fontId="0" fillId="0" borderId="0" xfId="0" applyNumberFormat="1" applyFill="1"/>
    <xf numFmtId="171" fontId="0" fillId="0" borderId="0" xfId="0" applyNumberFormat="1"/>
    <xf numFmtId="168" fontId="0" fillId="5" borderId="0" xfId="0" applyNumberFormat="1" applyFill="1" applyBorder="1"/>
    <xf numFmtId="172" fontId="0" fillId="0" borderId="0" xfId="0" applyNumberFormat="1"/>
    <xf numFmtId="11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7" fillId="0" borderId="0" xfId="0" applyFont="1" applyBorder="1" applyAlignment="1">
      <alignment horizontal="left"/>
    </xf>
    <xf numFmtId="167" fontId="3" fillId="3" borderId="12" xfId="2" applyNumberFormat="1" applyFont="1" applyFill="1" applyBorder="1"/>
    <xf numFmtId="166" fontId="0" fillId="0" borderId="0" xfId="0" applyNumberFormat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0</xdr:rowOff>
    </xdr:from>
    <xdr:to>
      <xdr:col>30</xdr:col>
      <xdr:colOff>495300</xdr:colOff>
      <xdr:row>22</xdr:row>
      <xdr:rowOff>189940</xdr:rowOff>
    </xdr:to>
    <xdr:pic>
      <xdr:nvPicPr>
        <xdr:cNvPr id="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16700" y="0"/>
          <a:ext cx="4762500" cy="476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nkel\Local%20Settings\Temporary%20Internet%20Files\Content.Outlook\JOMVJ2G0\warehouse(0316_2011)_2009%20(Recover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_class_(4 in 12 slope)"/>
      <sheetName val="average perimeter"/>
      <sheetName val="estimateed cost"/>
      <sheetName val="correlation"/>
      <sheetName val="adj.est"/>
    </sheetNames>
    <sheetDataSet>
      <sheetData sheetId="0">
        <row r="3">
          <cell r="B3">
            <v>300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BW192"/>
  <sheetViews>
    <sheetView tabSelected="1" zoomScale="85" zoomScaleNormal="85" workbookViewId="0">
      <pane ySplit="10" topLeftCell="A11" activePane="bottomLeft" state="frozen"/>
      <selection pane="bottomLeft" activeCell="D22" sqref="D22"/>
    </sheetView>
  </sheetViews>
  <sheetFormatPr defaultRowHeight="14.4" x14ac:dyDescent="0.3"/>
  <cols>
    <col min="1" max="1" width="16.33203125" customWidth="1"/>
    <col min="2" max="2" width="20.6640625" bestFit="1" customWidth="1"/>
    <col min="3" max="3" width="28.6640625" customWidth="1"/>
    <col min="4" max="4" width="13.33203125" customWidth="1"/>
    <col min="5" max="5" width="30.109375" customWidth="1"/>
    <col min="6" max="6" width="13.44140625" customWidth="1"/>
    <col min="7" max="7" width="14.109375" customWidth="1"/>
    <col min="8" max="13" width="9.109375" customWidth="1"/>
    <col min="14" max="14" width="10" customWidth="1"/>
    <col min="16" max="16" width="9.5546875" bestFit="1" customWidth="1"/>
    <col min="17" max="17" width="12.109375" bestFit="1" customWidth="1"/>
    <col min="18" max="18" width="11.5546875" bestFit="1" customWidth="1"/>
    <col min="33" max="40" width="9.109375" style="1"/>
    <col min="41" max="44" width="9.109375" style="60"/>
    <col min="45" max="45" width="13.88671875" style="60" customWidth="1"/>
    <col min="46" max="49" width="9.109375" style="60"/>
  </cols>
  <sheetData>
    <row r="1" spans="1:75" ht="21.6" thickBot="1" x14ac:dyDescent="0.45">
      <c r="A1" s="92" t="s">
        <v>575</v>
      </c>
      <c r="B1" s="1"/>
      <c r="C1" s="1"/>
      <c r="D1" s="1"/>
      <c r="E1" s="1"/>
      <c r="F1" s="1"/>
      <c r="K1" s="2" t="s">
        <v>0</v>
      </c>
      <c r="L1" s="1"/>
      <c r="M1" s="1"/>
      <c r="P1" t="s">
        <v>1</v>
      </c>
      <c r="AG1" s="2" t="s">
        <v>511</v>
      </c>
      <c r="AH1" s="60"/>
      <c r="AI1" s="60" t="s">
        <v>512</v>
      </c>
      <c r="AJ1" s="60">
        <f>a</f>
        <v>100</v>
      </c>
      <c r="AK1" s="60"/>
      <c r="AL1" s="60" t="s">
        <v>513</v>
      </c>
      <c r="AM1">
        <f>AJ1*AJ2</f>
        <v>30000</v>
      </c>
      <c r="AN1" s="60" t="s">
        <v>65</v>
      </c>
      <c r="AQ1" s="2" t="s">
        <v>514</v>
      </c>
      <c r="AS1" s="60" t="s">
        <v>515</v>
      </c>
      <c r="AT1" s="60">
        <f>eheight</f>
        <v>24</v>
      </c>
      <c r="AW1"/>
    </row>
    <row r="2" spans="1:75" ht="29.25" customHeight="1" x14ac:dyDescent="0.3">
      <c r="A2" s="3" t="s">
        <v>2</v>
      </c>
      <c r="B2" s="4" t="s">
        <v>3</v>
      </c>
      <c r="C2" s="4" t="s">
        <v>4</v>
      </c>
      <c r="D2" s="5" t="s">
        <v>5</v>
      </c>
      <c r="E2" s="4" t="s">
        <v>6</v>
      </c>
      <c r="F2" s="6" t="s">
        <v>7</v>
      </c>
      <c r="G2" s="7" t="s">
        <v>8</v>
      </c>
      <c r="H2" s="8" t="s">
        <v>9</v>
      </c>
      <c r="I2" s="9" t="s">
        <v>10</v>
      </c>
      <c r="J2" s="10" t="s">
        <v>11</v>
      </c>
      <c r="K2" s="1" t="s">
        <v>12</v>
      </c>
      <c r="L2" s="1"/>
      <c r="M2" s="2" t="s">
        <v>13</v>
      </c>
      <c r="O2" t="s">
        <v>14</v>
      </c>
      <c r="P2">
        <v>18.45</v>
      </c>
      <c r="R2" t="s">
        <v>15</v>
      </c>
      <c r="T2" t="s">
        <v>164</v>
      </c>
      <c r="AG2" s="1" t="s">
        <v>516</v>
      </c>
      <c r="AH2" s="60"/>
      <c r="AI2" s="60" t="s">
        <v>517</v>
      </c>
      <c r="AJ2" s="60">
        <f>high</f>
        <v>300</v>
      </c>
      <c r="AK2" s="60"/>
      <c r="AL2" s="60" t="s">
        <v>518</v>
      </c>
      <c r="AM2"/>
      <c r="AN2" s="60" t="s">
        <v>65</v>
      </c>
      <c r="AQ2" s="1" t="s">
        <v>519</v>
      </c>
      <c r="AW2"/>
    </row>
    <row r="3" spans="1:75" ht="15" thickBot="1" x14ac:dyDescent="0.35">
      <c r="A3" s="95">
        <v>100</v>
      </c>
      <c r="B3" s="96">
        <v>300</v>
      </c>
      <c r="C3" s="97">
        <v>4</v>
      </c>
      <c r="D3" s="98">
        <v>24</v>
      </c>
      <c r="E3" s="98">
        <v>1</v>
      </c>
      <c r="F3" s="98">
        <f>wide*high*0.02</f>
        <v>600</v>
      </c>
      <c r="G3" s="99">
        <v>100</v>
      </c>
      <c r="H3" s="11" t="s">
        <v>16</v>
      </c>
      <c r="I3" s="12">
        <f>AK12</f>
        <v>1.0769000000000011</v>
      </c>
      <c r="J3" s="12">
        <f>AU12</f>
        <v>1.23</v>
      </c>
      <c r="K3" s="13">
        <f>(5+6/12)*high*(8/12)+((3+6/12)*high*(8/12))</f>
        <v>1800</v>
      </c>
      <c r="L3" s="13"/>
      <c r="M3" s="14">
        <f>K3*0.037037037</f>
        <v>66.666666599999999</v>
      </c>
      <c r="O3" t="s">
        <v>17</v>
      </c>
      <c r="P3">
        <v>18.45</v>
      </c>
      <c r="R3" t="s">
        <v>15</v>
      </c>
      <c r="T3" t="s">
        <v>531</v>
      </c>
      <c r="U3">
        <v>12</v>
      </c>
      <c r="AG3" s="76"/>
      <c r="AH3" s="60"/>
      <c r="AI3"/>
      <c r="AJ3"/>
      <c r="AK3"/>
      <c r="AL3" s="60"/>
      <c r="AM3" s="60"/>
      <c r="AN3" s="60"/>
      <c r="AQ3" s="76"/>
      <c r="AS3"/>
      <c r="AT3"/>
      <c r="AU3"/>
    </row>
    <row r="4" spans="1:75" x14ac:dyDescent="0.3">
      <c r="I4">
        <f>a*high</f>
        <v>30000</v>
      </c>
      <c r="K4" s="13">
        <f>(wide-(16/12))*(6/12)*high</f>
        <v>14800</v>
      </c>
      <c r="L4" s="13"/>
      <c r="M4" s="14">
        <f>K4*0.037037037</f>
        <v>548.14814760000002</v>
      </c>
      <c r="AH4" s="60"/>
      <c r="AI4"/>
      <c r="AJ4"/>
      <c r="AK4"/>
      <c r="AL4" s="60"/>
      <c r="AM4" s="60"/>
      <c r="AN4" s="72"/>
      <c r="AQ4" s="1"/>
      <c r="AS4"/>
      <c r="AT4"/>
      <c r="AU4"/>
    </row>
    <row r="5" spans="1:75" ht="21.6" thickBot="1" x14ac:dyDescent="0.45">
      <c r="A5" s="92" t="s">
        <v>18</v>
      </c>
      <c r="B5" s="1"/>
      <c r="C5" s="1"/>
      <c r="D5" s="1"/>
      <c r="E5" s="1"/>
      <c r="K5" s="15">
        <f>((wide-12-(8/12))*3*(8/12)*2)</f>
        <v>349.33333333333331</v>
      </c>
      <c r="L5" s="13"/>
      <c r="M5" s="14">
        <f>K5*0.037037037</f>
        <v>12.938271592</v>
      </c>
      <c r="AG5" s="15"/>
      <c r="AH5" t="s">
        <v>25</v>
      </c>
      <c r="AI5"/>
      <c r="AJ5"/>
      <c r="AK5"/>
      <c r="AL5"/>
      <c r="AM5"/>
      <c r="AN5"/>
      <c r="AQ5" s="15"/>
      <c r="AR5"/>
      <c r="AS5"/>
      <c r="AT5"/>
      <c r="AU5"/>
      <c r="AV5"/>
      <c r="AW5"/>
    </row>
    <row r="6" spans="1:75" x14ac:dyDescent="0.3">
      <c r="A6" s="3"/>
      <c r="B6" s="4" t="s">
        <v>19</v>
      </c>
      <c r="C6" s="4" t="s">
        <v>20</v>
      </c>
      <c r="D6" s="4" t="s">
        <v>21</v>
      </c>
      <c r="E6" s="4" t="s">
        <v>6</v>
      </c>
      <c r="F6" s="4" t="s">
        <v>22</v>
      </c>
      <c r="G6" s="16" t="s">
        <v>23</v>
      </c>
      <c r="H6" s="17" t="s">
        <v>24</v>
      </c>
      <c r="I6" s="17" t="s">
        <v>532</v>
      </c>
      <c r="K6" s="1"/>
      <c r="L6" s="2" t="s">
        <v>25</v>
      </c>
      <c r="M6" s="2">
        <f>SUM(M3:M5)</f>
        <v>627.75308579199998</v>
      </c>
      <c r="P6">
        <f>40-door</f>
        <v>28</v>
      </c>
      <c r="AH6" s="1" t="s">
        <v>520</v>
      </c>
      <c r="AI6">
        <f>AM1+AM2+AM3</f>
        <v>30000</v>
      </c>
      <c r="AJ6"/>
      <c r="AK6"/>
      <c r="AL6"/>
      <c r="AM6"/>
      <c r="AN6"/>
      <c r="AQ6" s="1"/>
      <c r="AR6" s="1"/>
      <c r="AS6"/>
      <c r="AT6"/>
      <c r="AU6"/>
      <c r="AV6"/>
      <c r="AW6"/>
    </row>
    <row r="7" spans="1:75" x14ac:dyDescent="0.3">
      <c r="A7" s="18" t="s">
        <v>26</v>
      </c>
      <c r="B7" s="19">
        <f>SUM(R11:R14)*(G3/100)*(I3*J3)</f>
        <v>353053.97848224873</v>
      </c>
      <c r="C7" s="19">
        <f>SUM(R15:R25)*(G3/100)*(I3*J3)</f>
        <v>447237.84071883775</v>
      </c>
      <c r="D7" s="19">
        <f>SUM(R26:R37)*(G3/100)*(I3*J3)</f>
        <v>648854.73670443392</v>
      </c>
      <c r="E7" s="19">
        <f>G7-SUM(B7:D7,F7)</f>
        <v>292106.34926589625</v>
      </c>
      <c r="F7" s="19">
        <f>IF(F3&gt;0,SUM(R38:R46),0)*(G3/100)*(I3*J3)</f>
        <v>39672.757376316171</v>
      </c>
      <c r="G7" s="20">
        <f>IF(E3=1,(1+SUM(R51:R54))*SUM(B7:D7,F7),SUM(B7:D7,F7))</f>
        <v>1780925.6625477329</v>
      </c>
      <c r="H7" s="21">
        <f>G7/(wide*high)</f>
        <v>59.364188751591101</v>
      </c>
      <c r="I7" s="21">
        <f>G7/(wide*length*eheight)</f>
        <v>2.4735078646496289</v>
      </c>
      <c r="J7" s="22"/>
      <c r="P7">
        <f>P6/(16/12)</f>
        <v>21</v>
      </c>
      <c r="R7">
        <f>TAN(P2*PI()/180)*(door)</f>
        <v>4.0035028747578174</v>
      </c>
      <c r="AI7"/>
      <c r="AJ7"/>
      <c r="AK7"/>
      <c r="AL7"/>
      <c r="AM7"/>
      <c r="AN7"/>
      <c r="AQ7" s="1"/>
      <c r="AR7" s="1"/>
      <c r="AS7"/>
      <c r="AT7"/>
      <c r="AU7"/>
      <c r="AV7"/>
      <c r="AW7"/>
    </row>
    <row r="8" spans="1:75" ht="15" thickBot="1" x14ac:dyDescent="0.35">
      <c r="A8" s="23" t="s">
        <v>27</v>
      </c>
      <c r="B8" s="24">
        <f>SUM(Q11:Q14)*(G3/100)*(I3*J3)</f>
        <v>442429.74123964726</v>
      </c>
      <c r="C8" s="24">
        <f>SUM(Q15:Q25)*(G3/100)*(I3*J3)</f>
        <v>606772.24284746521</v>
      </c>
      <c r="D8" s="24">
        <f>SUM(Q26:Q37)*(G3/100)*(I3*J3)</f>
        <v>852378.42667743703</v>
      </c>
      <c r="E8" s="24">
        <f>G8-SUM(B8:D8,F8)</f>
        <v>422086.29282093025</v>
      </c>
      <c r="F8" s="24">
        <f>IF(F3&gt;0,SUM(Q38:Q46),0)*(G3/100)*(I3*J3)</f>
        <v>54152.574227250923</v>
      </c>
      <c r="G8" s="25">
        <f>IF(E3=1,(1+SUM(Q51:Q54))*SUM(B8:D8,F8),SUM(B8:D8,F8))</f>
        <v>2377819.2778127305</v>
      </c>
      <c r="H8" s="93">
        <f>G8/(wide*high)</f>
        <v>79.26064259375768</v>
      </c>
      <c r="I8" s="93">
        <f>G8/(wide*length*eheight)</f>
        <v>3.3025267747399036</v>
      </c>
      <c r="AI8"/>
      <c r="AJ8"/>
      <c r="AK8"/>
      <c r="AL8"/>
      <c r="AM8"/>
      <c r="AN8"/>
      <c r="AQ8" s="1"/>
      <c r="AR8" s="1"/>
      <c r="AS8"/>
      <c r="AT8"/>
      <c r="AU8"/>
      <c r="AV8"/>
      <c r="AW8"/>
    </row>
    <row r="9" spans="1:75" x14ac:dyDescent="0.3">
      <c r="G9" s="94"/>
      <c r="AH9" s="1" t="s">
        <v>521</v>
      </c>
      <c r="AI9" t="s">
        <v>522</v>
      </c>
      <c r="AJ9"/>
      <c r="AK9">
        <v>25000</v>
      </c>
      <c r="AL9"/>
      <c r="AM9"/>
      <c r="AN9"/>
      <c r="AQ9" s="1"/>
      <c r="AR9" s="1"/>
      <c r="AS9"/>
      <c r="AT9"/>
      <c r="AU9"/>
      <c r="AV9"/>
      <c r="AW9"/>
    </row>
    <row r="10" spans="1:75" s="1" customFormat="1" x14ac:dyDescent="0.3">
      <c r="A10" s="2" t="s">
        <v>28</v>
      </c>
      <c r="D10" s="26" t="s">
        <v>29</v>
      </c>
      <c r="E10" s="26" t="s">
        <v>30</v>
      </c>
      <c r="F10" s="26" t="s">
        <v>31</v>
      </c>
      <c r="G10" s="26" t="s">
        <v>32</v>
      </c>
      <c r="H10" s="26" t="s">
        <v>33</v>
      </c>
      <c r="I10" s="26" t="s">
        <v>34</v>
      </c>
      <c r="J10" s="26" t="s">
        <v>35</v>
      </c>
      <c r="K10" s="26" t="s">
        <v>36</v>
      </c>
      <c r="L10" s="26" t="s">
        <v>37</v>
      </c>
      <c r="M10" s="26" t="s">
        <v>38</v>
      </c>
      <c r="N10" s="26" t="s">
        <v>39</v>
      </c>
      <c r="O10" s="26" t="s">
        <v>40</v>
      </c>
      <c r="P10" s="26" t="s">
        <v>41</v>
      </c>
      <c r="Q10" s="26" t="s">
        <v>42</v>
      </c>
      <c r="R10" s="26" t="s">
        <v>43</v>
      </c>
      <c r="S10" s="26"/>
      <c r="Z10">
        <v>17</v>
      </c>
      <c r="AA10">
        <v>5.7500000000000002E-2</v>
      </c>
      <c r="AB10">
        <v>1.4610000000000001</v>
      </c>
      <c r="AC10">
        <v>2.3460000000000001</v>
      </c>
      <c r="AD10">
        <v>11.452999999999999</v>
      </c>
      <c r="AE10"/>
      <c r="AF10"/>
      <c r="AI10"/>
      <c r="AJ10"/>
      <c r="AK10"/>
      <c r="AL10"/>
      <c r="AM10"/>
      <c r="AN10"/>
      <c r="AO10" s="60"/>
      <c r="AP10" s="60"/>
      <c r="AS10"/>
      <c r="AT10"/>
      <c r="AU10"/>
      <c r="AV10"/>
      <c r="AW10"/>
      <c r="AX10" s="27"/>
      <c r="AY10" s="28"/>
      <c r="AZ10" s="27"/>
      <c r="BA10"/>
      <c r="BF10"/>
      <c r="BG10"/>
      <c r="BH10"/>
      <c r="BI10"/>
      <c r="BJ10"/>
      <c r="BK10"/>
      <c r="BL10"/>
      <c r="BN10" s="29"/>
      <c r="BO10"/>
      <c r="BP10"/>
      <c r="BQ10"/>
      <c r="BR10"/>
      <c r="BS10"/>
      <c r="BT10" s="30"/>
      <c r="BU10"/>
      <c r="BV10"/>
      <c r="BW10"/>
    </row>
    <row r="11" spans="1:75" s="32" customFormat="1" x14ac:dyDescent="0.3">
      <c r="A11" s="31" t="s">
        <v>19</v>
      </c>
      <c r="B11" s="32" t="s">
        <v>44</v>
      </c>
      <c r="C11" s="32" t="s">
        <v>45</v>
      </c>
      <c r="D11" s="32" t="s">
        <v>46</v>
      </c>
      <c r="E11" s="32" t="s">
        <v>47</v>
      </c>
      <c r="F11" s="32" t="s">
        <v>48</v>
      </c>
      <c r="G11" s="32" t="s">
        <v>49</v>
      </c>
      <c r="H11" s="32">
        <v>4100</v>
      </c>
      <c r="I11" s="32">
        <v>5.5</v>
      </c>
      <c r="J11" s="32">
        <v>1.51</v>
      </c>
      <c r="K11" s="32">
        <v>0</v>
      </c>
      <c r="L11" s="32">
        <v>7.01</v>
      </c>
      <c r="M11" s="32">
        <v>8.4</v>
      </c>
      <c r="N11" s="32" t="s">
        <v>50</v>
      </c>
      <c r="P11" s="32">
        <f>wide*2+high*2</f>
        <v>800</v>
      </c>
      <c r="Q11" s="32">
        <f>P11*M11</f>
        <v>6720</v>
      </c>
      <c r="R11" s="32">
        <f>P11*L11</f>
        <v>5608</v>
      </c>
      <c r="Z11" s="33">
        <v>18</v>
      </c>
      <c r="AA11" s="33">
        <v>5.16E-2</v>
      </c>
      <c r="AB11" s="33">
        <v>1.3109999999999999</v>
      </c>
      <c r="AC11" s="33">
        <v>2.105</v>
      </c>
      <c r="AD11" s="33">
        <v>10.278</v>
      </c>
      <c r="AE11" s="33"/>
      <c r="AF11" s="33"/>
      <c r="AG11" s="1"/>
      <c r="AH11" s="1"/>
      <c r="AI11" s="77" t="s">
        <v>523</v>
      </c>
      <c r="AJ11"/>
      <c r="AK11" s="78">
        <f>ROUND((AI6/AK9),2)</f>
        <v>1.2</v>
      </c>
      <c r="AL11"/>
      <c r="AM11"/>
      <c r="AN11"/>
      <c r="AO11" s="60"/>
      <c r="AP11" s="60"/>
      <c r="AQ11" s="1"/>
      <c r="AR11" s="1"/>
      <c r="AS11" s="10" t="s">
        <v>524</v>
      </c>
      <c r="AT11"/>
      <c r="AU11" s="78">
        <f>AT1</f>
        <v>24</v>
      </c>
      <c r="AV11"/>
      <c r="AW11"/>
      <c r="AX11" s="34"/>
      <c r="AY11" s="34"/>
      <c r="AZ11" s="34"/>
      <c r="BA11" s="33"/>
      <c r="BE11" s="31"/>
      <c r="BF11" s="33"/>
      <c r="BG11" s="33"/>
      <c r="BH11" s="33"/>
      <c r="BI11" s="33"/>
      <c r="BJ11" s="33"/>
      <c r="BK11" s="33"/>
      <c r="BL11" s="33"/>
      <c r="BN11" s="35"/>
      <c r="BO11" s="33"/>
      <c r="BP11" s="33"/>
      <c r="BQ11" s="33"/>
      <c r="BR11" s="33"/>
      <c r="BS11" s="33"/>
      <c r="BT11" s="36"/>
      <c r="BU11" s="33"/>
      <c r="BV11" s="33"/>
      <c r="BW11" s="33"/>
    </row>
    <row r="12" spans="1:75" s="40" customFormat="1" x14ac:dyDescent="0.3">
      <c r="A12" s="37"/>
      <c r="B12" s="38"/>
      <c r="C12" s="38" t="s">
        <v>51</v>
      </c>
      <c r="D12" s="38" t="s">
        <v>52</v>
      </c>
      <c r="E12" s="38" t="s">
        <v>53</v>
      </c>
      <c r="F12" s="38" t="s">
        <v>54</v>
      </c>
      <c r="G12" s="38" t="s">
        <v>55</v>
      </c>
      <c r="H12" s="38">
        <v>2400</v>
      </c>
      <c r="I12" s="38">
        <v>0.64</v>
      </c>
      <c r="J12" s="38">
        <v>1.37</v>
      </c>
      <c r="K12" s="38">
        <v>0</v>
      </c>
      <c r="L12" s="38">
        <v>2.0099999999999998</v>
      </c>
      <c r="M12" s="38">
        <v>2.95</v>
      </c>
      <c r="N12" s="39" t="s">
        <v>56</v>
      </c>
      <c r="O12" s="38"/>
      <c r="P12" s="40">
        <f>wide*high</f>
        <v>30000</v>
      </c>
      <c r="Q12" s="40">
        <f>(P12*M12)/2</f>
        <v>44250</v>
      </c>
      <c r="R12" s="40">
        <f>(P12*L12)/2</f>
        <v>30149.999999999996</v>
      </c>
      <c r="Z12" s="41">
        <v>19</v>
      </c>
      <c r="AA12" s="41">
        <v>4.5600000000000002E-2</v>
      </c>
      <c r="AB12" s="41">
        <v>1.1579999999999999</v>
      </c>
      <c r="AC12" s="41">
        <v>1.86</v>
      </c>
      <c r="AD12" s="41">
        <v>9.0830000000000002</v>
      </c>
      <c r="AE12" s="41"/>
      <c r="AF12" s="41"/>
      <c r="AG12" s="38"/>
      <c r="AH12" s="38"/>
      <c r="AI12" s="79" t="s">
        <v>525</v>
      </c>
      <c r="AJ12" s="80"/>
      <c r="AK12" s="81">
        <f>IF(AK11&gt;=0.5,VLOOKUP(MATCH(AK11,AK16:AK72,1),AM16:AN72,2),1.1)</f>
        <v>1.0769000000000011</v>
      </c>
      <c r="AL12" s="80"/>
      <c r="AM12" s="80"/>
      <c r="AN12" s="80"/>
      <c r="AO12" s="38"/>
      <c r="AP12" s="38"/>
      <c r="AQ12" s="38"/>
      <c r="AR12" s="38"/>
      <c r="AS12" s="82" t="s">
        <v>526</v>
      </c>
      <c r="AT12" s="80"/>
      <c r="AU12" s="81">
        <f>VLOOKUP(AT1,$AU$16:$AV$88,2)</f>
        <v>1.23</v>
      </c>
      <c r="AV12" s="80"/>
      <c r="AW12" s="80"/>
      <c r="AX12" s="42"/>
      <c r="AY12" s="42"/>
      <c r="AZ12" s="42"/>
      <c r="BA12" s="41"/>
      <c r="BF12" s="41"/>
      <c r="BG12" s="41"/>
      <c r="BH12" s="41"/>
      <c r="BI12" s="41"/>
      <c r="BJ12" s="41"/>
      <c r="BK12" s="41"/>
      <c r="BL12" s="41"/>
    </row>
    <row r="13" spans="1:75" s="40" customFormat="1" x14ac:dyDescent="0.3">
      <c r="A13" s="37"/>
      <c r="B13" s="38" t="s">
        <v>57</v>
      </c>
      <c r="C13" s="38" t="s">
        <v>58</v>
      </c>
      <c r="D13" s="38" t="s">
        <v>59</v>
      </c>
      <c r="E13" s="38" t="s">
        <v>60</v>
      </c>
      <c r="F13" s="38" t="s">
        <v>61</v>
      </c>
      <c r="G13" s="38" t="s">
        <v>62</v>
      </c>
      <c r="H13" s="38">
        <v>4700</v>
      </c>
      <c r="I13" s="38">
        <v>121</v>
      </c>
      <c r="J13" s="38">
        <v>37.5</v>
      </c>
      <c r="K13" s="38">
        <v>0.28999999999999998</v>
      </c>
      <c r="L13" s="38">
        <v>158.79</v>
      </c>
      <c r="M13" s="38">
        <v>192.82</v>
      </c>
      <c r="N13" s="38" t="s">
        <v>63</v>
      </c>
      <c r="O13" s="38"/>
      <c r="P13" s="43">
        <f>M6</f>
        <v>627.75308579199998</v>
      </c>
      <c r="Q13" s="40">
        <f>P13*M13</f>
        <v>121043.35000241343</v>
      </c>
      <c r="R13" s="40">
        <f>P13*L13</f>
        <v>99680.912492911666</v>
      </c>
      <c r="Z13" s="41">
        <v>21</v>
      </c>
      <c r="AA13" s="41">
        <v>3.6600000000000001E-2</v>
      </c>
      <c r="AB13" s="41">
        <v>0.93</v>
      </c>
      <c r="AC13" s="41">
        <v>1.4930000000000001</v>
      </c>
      <c r="AD13" s="41">
        <v>7.29</v>
      </c>
      <c r="AE13" s="41"/>
      <c r="AF13" s="41"/>
      <c r="AG13" s="38"/>
      <c r="AH13" s="38"/>
      <c r="AI13" s="80"/>
      <c r="AJ13" s="80"/>
      <c r="AK13" s="80"/>
      <c r="AL13" s="80"/>
      <c r="AM13" s="80"/>
      <c r="AN13" s="80"/>
      <c r="AO13" s="38"/>
      <c r="AP13" s="38"/>
      <c r="AQ13" s="38"/>
      <c r="AR13" s="38"/>
      <c r="AS13" s="80"/>
      <c r="AT13" s="80"/>
      <c r="AU13" s="80"/>
      <c r="AV13" s="80"/>
      <c r="AW13" s="80"/>
      <c r="AX13" s="42"/>
      <c r="AY13" s="42"/>
      <c r="AZ13" s="42"/>
      <c r="BA13" s="41"/>
      <c r="BF13" s="41"/>
      <c r="BG13" s="41"/>
      <c r="BH13" s="41"/>
      <c r="BI13" s="44"/>
      <c r="BJ13" s="41"/>
      <c r="BK13" s="44"/>
      <c r="BL13" s="41"/>
    </row>
    <row r="14" spans="1:75" s="40" customFormat="1" x14ac:dyDescent="0.3">
      <c r="A14" s="37"/>
      <c r="B14" s="38"/>
      <c r="C14" s="38" t="s">
        <v>64</v>
      </c>
      <c r="D14" s="38" t="s">
        <v>65</v>
      </c>
      <c r="E14" s="38" t="s">
        <v>66</v>
      </c>
      <c r="F14" s="38" t="str">
        <f>E14</f>
        <v>End grain flooring, coated, 2" thick</v>
      </c>
      <c r="G14" s="45" t="s">
        <v>67</v>
      </c>
      <c r="H14" s="38">
        <v>20</v>
      </c>
      <c r="I14" s="38">
        <v>3.29</v>
      </c>
      <c r="J14" s="38">
        <v>1.08</v>
      </c>
      <c r="K14" s="38">
        <v>0</v>
      </c>
      <c r="L14" s="38">
        <f>SUM(I14:K14)</f>
        <v>4.37</v>
      </c>
      <c r="M14" s="38">
        <v>5.4</v>
      </c>
      <c r="N14" s="38" t="s">
        <v>63</v>
      </c>
      <c r="O14" s="38"/>
      <c r="P14" s="43">
        <f>wide*high</f>
        <v>30000</v>
      </c>
      <c r="Q14" s="40">
        <f>P14*M14</f>
        <v>162000</v>
      </c>
      <c r="R14" s="40">
        <f>P14*L14</f>
        <v>131100</v>
      </c>
      <c r="Z14" s="41">
        <v>21</v>
      </c>
      <c r="AA14" s="41">
        <v>3.6600000000000001E-2</v>
      </c>
      <c r="AB14" s="41">
        <v>0.93</v>
      </c>
      <c r="AC14" s="41">
        <v>1.4930000000000001</v>
      </c>
      <c r="AD14" s="41">
        <v>7.29</v>
      </c>
      <c r="AE14" s="41"/>
      <c r="AF14" s="41"/>
      <c r="AG14" s="38"/>
      <c r="AH14" s="37" t="s">
        <v>527</v>
      </c>
      <c r="AI14" s="80"/>
      <c r="AJ14" s="80"/>
      <c r="AK14" s="80"/>
      <c r="AL14" s="80"/>
      <c r="AM14" s="80"/>
      <c r="AN14" s="80"/>
      <c r="AO14" s="38"/>
      <c r="AP14" s="38"/>
      <c r="AQ14" s="38"/>
      <c r="AR14" s="37" t="s">
        <v>527</v>
      </c>
      <c r="AS14" s="80"/>
      <c r="AT14" s="80"/>
      <c r="AU14" s="80"/>
      <c r="AV14" s="80"/>
      <c r="AW14" s="80"/>
      <c r="AX14" s="42"/>
      <c r="AY14" s="42"/>
      <c r="AZ14" s="42"/>
      <c r="BA14" s="41"/>
      <c r="BF14" s="41"/>
      <c r="BG14" s="41"/>
      <c r="BH14" s="41"/>
      <c r="BI14" s="44"/>
      <c r="BJ14" s="41"/>
      <c r="BK14" s="44"/>
      <c r="BL14" s="41"/>
    </row>
    <row r="15" spans="1:75" s="32" customFormat="1" x14ac:dyDescent="0.3">
      <c r="A15" s="31" t="s">
        <v>68</v>
      </c>
      <c r="B15" s="32" t="s">
        <v>69</v>
      </c>
      <c r="C15" s="32" t="s">
        <v>70</v>
      </c>
      <c r="D15" s="32" t="s">
        <v>46</v>
      </c>
      <c r="E15" s="32" t="s">
        <v>71</v>
      </c>
      <c r="F15" s="32" t="str">
        <f>E15</f>
        <v>2 X 6 stud 16" O.C. #' high steel</v>
      </c>
      <c r="G15" s="46" t="s">
        <v>72</v>
      </c>
      <c r="H15" s="32">
        <v>5200</v>
      </c>
      <c r="I15" s="32">
        <v>16.95</v>
      </c>
      <c r="J15" s="32">
        <v>8.75</v>
      </c>
      <c r="L15" s="32">
        <f t="shared" ref="L15:L22" si="0">SUM(I15:K15)</f>
        <v>25.7</v>
      </c>
      <c r="M15" s="32">
        <v>33</v>
      </c>
      <c r="N15" s="32" t="s">
        <v>73</v>
      </c>
      <c r="P15" s="32">
        <f>((wide-door)/(16/12)+1)*2</f>
        <v>134</v>
      </c>
      <c r="Q15" s="32">
        <f>P15*M15*eheight</f>
        <v>106128</v>
      </c>
      <c r="R15" s="32">
        <f>P15*L15*eheight</f>
        <v>82651.199999999997</v>
      </c>
      <c r="Z15" s="33">
        <v>22</v>
      </c>
      <c r="AA15" s="33">
        <v>3.3599999999999998E-2</v>
      </c>
      <c r="AB15" s="33">
        <v>0.85299999999999998</v>
      </c>
      <c r="AC15" s="33">
        <v>1.371</v>
      </c>
      <c r="AD15" s="33">
        <v>6.6920000000000002</v>
      </c>
      <c r="AE15" s="33"/>
      <c r="AF15" s="33"/>
      <c r="AG15" s="1"/>
      <c r="AH15" s="1"/>
      <c r="AI15"/>
      <c r="AJ15"/>
      <c r="AK15" t="s">
        <v>528</v>
      </c>
      <c r="AL15" t="s">
        <v>529</v>
      </c>
      <c r="AM15"/>
      <c r="AN15"/>
      <c r="AO15" s="60"/>
      <c r="AP15" s="60"/>
      <c r="AQ15" s="1"/>
      <c r="AR15" s="1"/>
      <c r="AS15"/>
      <c r="AT15"/>
      <c r="AU15" t="s">
        <v>524</v>
      </c>
      <c r="AV15" t="s">
        <v>526</v>
      </c>
      <c r="AW15"/>
      <c r="AX15" s="34"/>
      <c r="AY15" s="34"/>
      <c r="AZ15" s="34"/>
      <c r="BA15" s="33"/>
      <c r="BF15" s="33"/>
      <c r="BG15" s="33"/>
      <c r="BH15" s="33"/>
      <c r="BI15" s="47"/>
      <c r="BJ15" s="33"/>
      <c r="BK15" s="47"/>
      <c r="BL15" s="33"/>
      <c r="BO15" s="33"/>
      <c r="BP15" s="33"/>
      <c r="BQ15" s="33"/>
      <c r="BR15" s="33"/>
      <c r="BS15" s="33"/>
      <c r="BT15" s="33"/>
      <c r="BU15" s="33"/>
    </row>
    <row r="16" spans="1:75" s="40" customFormat="1" x14ac:dyDescent="0.3">
      <c r="A16" s="37"/>
      <c r="B16" s="38"/>
      <c r="C16" s="38" t="s">
        <v>74</v>
      </c>
      <c r="D16" s="38" t="s">
        <v>46</v>
      </c>
      <c r="E16" s="38" t="s">
        <v>71</v>
      </c>
      <c r="F16" s="38" t="str">
        <f t="shared" ref="F16:F25" si="1">E16</f>
        <v>2 X 6 stud 16" O.C. #' high steel</v>
      </c>
      <c r="G16" s="45" t="s">
        <v>72</v>
      </c>
      <c r="H16" s="38">
        <v>5200</v>
      </c>
      <c r="I16" s="38">
        <v>16.95</v>
      </c>
      <c r="J16" s="38">
        <v>8.75</v>
      </c>
      <c r="K16" s="38"/>
      <c r="L16" s="38">
        <f>SUM(I16:K16)</f>
        <v>25.7</v>
      </c>
      <c r="M16" s="38">
        <v>34</v>
      </c>
      <c r="N16" s="38" t="s">
        <v>73</v>
      </c>
      <c r="O16" s="38" t="s">
        <v>14</v>
      </c>
      <c r="P16" s="48">
        <f>SUM(B62:B171)</f>
        <v>304.48863530796956</v>
      </c>
      <c r="Q16" s="40">
        <f t="shared" ref="Q16:Q21" si="2">P16*M16*2</f>
        <v>20705.227200941928</v>
      </c>
      <c r="R16" s="40">
        <f t="shared" ref="R16:R21" si="3">P16*L16*2</f>
        <v>15650.715854829636</v>
      </c>
      <c r="Z16" s="41">
        <v>23</v>
      </c>
      <c r="AA16" s="41">
        <v>3.0599999999999999E-2</v>
      </c>
      <c r="AB16" s="41">
        <v>0.77700000000000002</v>
      </c>
      <c r="AC16" s="41">
        <v>1.248</v>
      </c>
      <c r="AD16" s="41">
        <v>6.0949999999999998</v>
      </c>
      <c r="AE16" s="41"/>
      <c r="AF16" s="41"/>
      <c r="AG16" s="38"/>
      <c r="AH16" s="38"/>
      <c r="AI16" s="80"/>
      <c r="AJ16" s="80"/>
      <c r="AK16" s="80">
        <v>0.5</v>
      </c>
      <c r="AL16" s="83">
        <v>1.1000000000000001</v>
      </c>
      <c r="AM16" s="80">
        <v>1</v>
      </c>
      <c r="AN16" s="83">
        <f>AL16</f>
        <v>1.1000000000000001</v>
      </c>
      <c r="AO16" s="38"/>
      <c r="AP16" s="38"/>
      <c r="AQ16" s="38"/>
      <c r="AR16" s="38"/>
      <c r="AS16" s="80"/>
      <c r="AT16" s="80"/>
      <c r="AU16" s="80">
        <v>8</v>
      </c>
      <c r="AV16" s="83">
        <v>0.88</v>
      </c>
      <c r="AW16" s="80"/>
      <c r="AX16" s="42"/>
      <c r="AY16" s="42"/>
      <c r="AZ16" s="42"/>
      <c r="BA16" s="41"/>
      <c r="BF16" s="41"/>
      <c r="BG16" s="41"/>
      <c r="BH16" s="41"/>
      <c r="BI16" s="44"/>
      <c r="BJ16" s="41"/>
      <c r="BK16" s="44"/>
      <c r="BL16" s="41"/>
      <c r="BO16" s="41"/>
      <c r="BP16" s="41"/>
      <c r="BQ16" s="41"/>
      <c r="BR16" s="41"/>
      <c r="BS16" s="41"/>
      <c r="BT16" s="41"/>
      <c r="BU16" s="41"/>
    </row>
    <row r="17" spans="1:73" s="40" customFormat="1" x14ac:dyDescent="0.3">
      <c r="A17" s="38"/>
      <c r="B17" s="38"/>
      <c r="C17" s="38" t="s">
        <v>74</v>
      </c>
      <c r="D17" s="38" t="s">
        <v>46</v>
      </c>
      <c r="E17" s="38" t="s">
        <v>71</v>
      </c>
      <c r="F17" s="38" t="str">
        <f t="shared" si="1"/>
        <v>2 X 6 stud 16" O.C. #' high steel</v>
      </c>
      <c r="G17" s="45" t="s">
        <v>72</v>
      </c>
      <c r="H17" s="38">
        <v>5200</v>
      </c>
      <c r="I17" s="38">
        <v>16.95</v>
      </c>
      <c r="J17" s="38">
        <v>8.75</v>
      </c>
      <c r="K17" s="38"/>
      <c r="L17" s="38">
        <f>SUM(I17:K17)</f>
        <v>25.7</v>
      </c>
      <c r="M17" s="38">
        <v>35</v>
      </c>
      <c r="N17" s="38" t="s">
        <v>73</v>
      </c>
      <c r="O17" s="38" t="s">
        <v>17</v>
      </c>
      <c r="P17" s="48">
        <f>SUM(N62:N171)</f>
        <v>304.48863530796956</v>
      </c>
      <c r="Q17" s="40">
        <f t="shared" si="2"/>
        <v>21314.20447155787</v>
      </c>
      <c r="R17" s="40">
        <f t="shared" si="3"/>
        <v>15650.715854829636</v>
      </c>
      <c r="Z17" s="41">
        <v>24</v>
      </c>
      <c r="AA17" s="41">
        <v>2.76E-2</v>
      </c>
      <c r="AB17" s="41">
        <v>0.70099999999999996</v>
      </c>
      <c r="AC17" s="41">
        <v>1.1259999999999999</v>
      </c>
      <c r="AD17" s="41">
        <v>5.4969999999999999</v>
      </c>
      <c r="AE17" s="41"/>
      <c r="AF17" s="41"/>
      <c r="AG17" s="38"/>
      <c r="AH17" s="38"/>
      <c r="AI17" s="80"/>
      <c r="AJ17" s="80"/>
      <c r="AK17" s="80">
        <v>0.55000000000000004</v>
      </c>
      <c r="AL17" s="83">
        <f>AL16-(AL$40-AL$50)/10</f>
        <v>1.0967000000000002</v>
      </c>
      <c r="AM17" s="80">
        <v>2</v>
      </c>
      <c r="AN17" s="83">
        <f t="shared" ref="AN17:AN72" si="4">AL17</f>
        <v>1.0967000000000002</v>
      </c>
      <c r="AO17" s="38"/>
      <c r="AP17" s="38"/>
      <c r="AQ17" s="38"/>
      <c r="AR17" s="38"/>
      <c r="AS17" s="80"/>
      <c r="AT17" s="80"/>
      <c r="AU17" s="80">
        <v>9</v>
      </c>
      <c r="AV17" s="83">
        <v>0.9</v>
      </c>
      <c r="AW17" s="80"/>
      <c r="AX17" s="42"/>
      <c r="AY17" s="42"/>
      <c r="AZ17" s="42"/>
      <c r="BA17" s="41"/>
      <c r="BF17" s="41"/>
      <c r="BG17" s="41"/>
      <c r="BH17" s="41"/>
      <c r="BI17" s="44"/>
      <c r="BJ17" s="41"/>
      <c r="BK17" s="44"/>
      <c r="BL17" s="41"/>
      <c r="BO17" s="41"/>
      <c r="BP17" s="49"/>
      <c r="BQ17" s="41"/>
      <c r="BR17" s="41"/>
      <c r="BS17" s="41"/>
      <c r="BT17" s="50"/>
      <c r="BU17" s="51"/>
    </row>
    <row r="18" spans="1:73" s="40" customFormat="1" x14ac:dyDescent="0.3">
      <c r="A18" s="38"/>
      <c r="B18" s="38"/>
      <c r="C18" s="38" t="s">
        <v>75</v>
      </c>
      <c r="D18" s="38" t="s">
        <v>46</v>
      </c>
      <c r="E18" s="38" t="s">
        <v>71</v>
      </c>
      <c r="F18" s="38" t="str">
        <f t="shared" si="1"/>
        <v>2 X 6 stud 16" O.C. #' high steel</v>
      </c>
      <c r="G18" s="45" t="s">
        <v>72</v>
      </c>
      <c r="H18" s="38">
        <v>5200</v>
      </c>
      <c r="I18" s="38">
        <v>16.95</v>
      </c>
      <c r="J18" s="38">
        <v>8.75</v>
      </c>
      <c r="K18" s="38"/>
      <c r="L18" s="38">
        <f>SUM(I18:K18)</f>
        <v>25.7</v>
      </c>
      <c r="M18" s="38">
        <v>36</v>
      </c>
      <c r="N18" s="38" t="s">
        <v>76</v>
      </c>
      <c r="O18" s="38"/>
      <c r="P18" s="40">
        <f>wide-door</f>
        <v>88</v>
      </c>
      <c r="Q18" s="40">
        <f>P18*M18*2</f>
        <v>6336</v>
      </c>
      <c r="R18" s="40">
        <f>P18*L18*2</f>
        <v>4523.2</v>
      </c>
      <c r="Z18" s="41"/>
      <c r="AA18" s="41"/>
      <c r="AB18" s="41"/>
      <c r="AC18" s="41"/>
      <c r="AD18" s="41"/>
      <c r="AE18" s="41"/>
      <c r="AF18" s="41"/>
      <c r="AG18" s="38"/>
      <c r="AH18" s="38"/>
      <c r="AI18" s="80"/>
      <c r="AJ18" s="80"/>
      <c r="AK18" s="80">
        <v>0.6</v>
      </c>
      <c r="AL18" s="83">
        <f t="shared" ref="AL18:AL25" si="5">AL17-(AL$40-AL$50)/10</f>
        <v>1.0934000000000004</v>
      </c>
      <c r="AM18" s="80">
        <v>3</v>
      </c>
      <c r="AN18" s="83">
        <f t="shared" si="4"/>
        <v>1.0934000000000004</v>
      </c>
      <c r="AO18" s="38"/>
      <c r="AP18" s="38"/>
      <c r="AQ18" s="38"/>
      <c r="AR18" s="38"/>
      <c r="AS18" s="80"/>
      <c r="AT18" s="80"/>
      <c r="AU18" s="80">
        <v>10</v>
      </c>
      <c r="AV18" s="83">
        <v>0.92</v>
      </c>
      <c r="AW18" s="80"/>
      <c r="AX18" s="42"/>
      <c r="AY18" s="42"/>
      <c r="AZ18" s="42"/>
      <c r="BA18" s="41"/>
      <c r="BF18" s="41"/>
      <c r="BG18" s="41"/>
      <c r="BH18" s="41"/>
      <c r="BI18" s="44"/>
      <c r="BJ18" s="41"/>
      <c r="BK18" s="44"/>
      <c r="BL18" s="41"/>
      <c r="BO18" s="41"/>
      <c r="BP18" s="49"/>
      <c r="BQ18" s="41"/>
      <c r="BR18" s="41"/>
      <c r="BS18" s="41"/>
      <c r="BT18" s="50"/>
      <c r="BU18" s="51"/>
    </row>
    <row r="19" spans="1:73" s="40" customFormat="1" x14ac:dyDescent="0.3">
      <c r="A19" s="38"/>
      <c r="B19" s="38"/>
      <c r="C19" s="38" t="s">
        <v>77</v>
      </c>
      <c r="D19" s="38" t="s">
        <v>52</v>
      </c>
      <c r="E19" s="38" t="s">
        <v>78</v>
      </c>
      <c r="F19" s="38" t="str">
        <f t="shared" si="1"/>
        <v>4 " X3-21" X 3", 1/4" thick, 9' long</v>
      </c>
      <c r="G19" s="45" t="s">
        <v>79</v>
      </c>
      <c r="H19" s="38">
        <v>2700</v>
      </c>
      <c r="I19" s="38">
        <v>67</v>
      </c>
      <c r="J19" s="38">
        <v>27</v>
      </c>
      <c r="K19" s="38"/>
      <c r="L19" s="38">
        <f t="shared" si="0"/>
        <v>94</v>
      </c>
      <c r="M19" s="38">
        <v>117</v>
      </c>
      <c r="N19" s="38" t="s">
        <v>80</v>
      </c>
      <c r="O19" s="38"/>
      <c r="P19" s="40">
        <f>door/9</f>
        <v>1.3333333333333333</v>
      </c>
      <c r="Q19" s="40">
        <f t="shared" si="2"/>
        <v>312</v>
      </c>
      <c r="R19" s="40">
        <f t="shared" si="3"/>
        <v>250.66666666666666</v>
      </c>
      <c r="Z19" s="41"/>
      <c r="AA19" s="41"/>
      <c r="AB19" s="41"/>
      <c r="AC19" s="41"/>
      <c r="AD19" s="41"/>
      <c r="AE19" s="41"/>
      <c r="AF19" s="41"/>
      <c r="AG19" s="38"/>
      <c r="AH19" s="38"/>
      <c r="AI19" s="80"/>
      <c r="AJ19" s="80"/>
      <c r="AK19" s="80">
        <v>0.65</v>
      </c>
      <c r="AL19" s="83">
        <f t="shared" si="5"/>
        <v>1.0901000000000005</v>
      </c>
      <c r="AM19" s="80">
        <v>4</v>
      </c>
      <c r="AN19" s="83">
        <f t="shared" si="4"/>
        <v>1.0901000000000005</v>
      </c>
      <c r="AO19" s="38"/>
      <c r="AP19" s="38"/>
      <c r="AQ19" s="38"/>
      <c r="AR19" s="38"/>
      <c r="AS19" s="80"/>
      <c r="AT19" s="80"/>
      <c r="AU19" s="80">
        <v>11</v>
      </c>
      <c r="AV19" s="83">
        <v>0.94</v>
      </c>
      <c r="AW19" s="80"/>
      <c r="AX19" s="42"/>
      <c r="AY19" s="42"/>
      <c r="AZ19" s="42"/>
      <c r="BA19" s="41"/>
      <c r="BF19" s="41"/>
      <c r="BG19" s="41"/>
      <c r="BH19" s="41"/>
      <c r="BI19" s="44"/>
      <c r="BJ19" s="41"/>
      <c r="BK19" s="44"/>
      <c r="BL19" s="41"/>
      <c r="BO19" s="41"/>
      <c r="BP19" s="49"/>
      <c r="BQ19" s="41"/>
      <c r="BR19" s="41"/>
      <c r="BS19" s="41"/>
      <c r="BT19" s="50"/>
      <c r="BU19" s="51"/>
    </row>
    <row r="20" spans="1:73" s="40" customFormat="1" x14ac:dyDescent="0.3">
      <c r="A20" s="38"/>
      <c r="B20" s="38"/>
      <c r="C20" s="38" t="s">
        <v>81</v>
      </c>
      <c r="D20" s="38" t="s">
        <v>52</v>
      </c>
      <c r="E20" s="38" t="s">
        <v>82</v>
      </c>
      <c r="F20" s="38" t="str">
        <f t="shared" si="1"/>
        <v>18 ga, 4 1/2" X 2 3/4"</v>
      </c>
      <c r="G20" s="45" t="s">
        <v>83</v>
      </c>
      <c r="H20" s="38">
        <v>1150</v>
      </c>
      <c r="I20" s="38">
        <v>2.2000000000000002</v>
      </c>
      <c r="J20" s="38">
        <v>1.83</v>
      </c>
      <c r="K20" s="38"/>
      <c r="L20" s="38">
        <f t="shared" si="0"/>
        <v>4.03</v>
      </c>
      <c r="M20" s="38">
        <v>5.45</v>
      </c>
      <c r="N20" s="38" t="s">
        <v>84</v>
      </c>
      <c r="O20" s="38"/>
      <c r="P20" s="40">
        <f>2*((wide)/(16/12)+1)</f>
        <v>152</v>
      </c>
      <c r="Q20" s="40">
        <f t="shared" si="2"/>
        <v>1656.8</v>
      </c>
      <c r="R20" s="40">
        <f t="shared" si="3"/>
        <v>1225.1200000000001</v>
      </c>
      <c r="Z20" s="41"/>
      <c r="AA20" s="41"/>
      <c r="AB20" s="41"/>
      <c r="AC20" s="41"/>
      <c r="AD20" s="41"/>
      <c r="AE20" s="41"/>
      <c r="AF20" s="41"/>
      <c r="AG20" s="38"/>
      <c r="AH20" s="38"/>
      <c r="AI20" s="80"/>
      <c r="AJ20" s="80"/>
      <c r="AK20" s="80">
        <v>0.7</v>
      </c>
      <c r="AL20" s="83">
        <f t="shared" si="5"/>
        <v>1.0868000000000007</v>
      </c>
      <c r="AM20" s="80">
        <v>5</v>
      </c>
      <c r="AN20" s="83">
        <f t="shared" si="4"/>
        <v>1.0868000000000007</v>
      </c>
      <c r="AO20" s="38"/>
      <c r="AP20" s="38"/>
      <c r="AQ20" s="38"/>
      <c r="AR20" s="38"/>
      <c r="AS20" s="80"/>
      <c r="AT20" s="80"/>
      <c r="AU20" s="80">
        <v>12</v>
      </c>
      <c r="AV20" s="83">
        <v>0.96</v>
      </c>
      <c r="AW20" s="80"/>
      <c r="AX20" s="42"/>
      <c r="AY20" s="42"/>
      <c r="AZ20" s="42"/>
      <c r="BA20" s="41"/>
      <c r="BF20" s="41"/>
      <c r="BG20" s="41"/>
      <c r="BH20" s="41"/>
      <c r="BI20" s="44"/>
      <c r="BJ20" s="41"/>
      <c r="BK20" s="44"/>
      <c r="BL20" s="41"/>
      <c r="BO20" s="41"/>
      <c r="BP20" s="49"/>
      <c r="BQ20" s="41"/>
      <c r="BR20" s="41"/>
      <c r="BS20" s="41"/>
      <c r="BT20" s="50"/>
      <c r="BU20" s="51"/>
    </row>
    <row r="21" spans="1:73" s="40" customFormat="1" x14ac:dyDescent="0.3">
      <c r="A21" s="38"/>
      <c r="B21" s="38"/>
      <c r="C21" s="38" t="s">
        <v>85</v>
      </c>
      <c r="D21" s="38" t="s">
        <v>52</v>
      </c>
      <c r="E21" s="38" t="s">
        <v>86</v>
      </c>
      <c r="F21" s="38" t="str">
        <f t="shared" si="1"/>
        <v>3/4" diam X 12" long</v>
      </c>
      <c r="G21" s="45" t="s">
        <v>87</v>
      </c>
      <c r="H21" s="38">
        <v>140</v>
      </c>
      <c r="I21" s="38">
        <v>2.33</v>
      </c>
      <c r="J21" s="38">
        <v>14.2</v>
      </c>
      <c r="K21" s="38"/>
      <c r="L21" s="38">
        <f t="shared" si="0"/>
        <v>16.53</v>
      </c>
      <c r="M21" s="38">
        <v>26</v>
      </c>
      <c r="N21" s="38" t="s">
        <v>88</v>
      </c>
      <c r="O21" s="38"/>
      <c r="P21" s="40">
        <f>P15</f>
        <v>134</v>
      </c>
      <c r="Q21" s="40">
        <f t="shared" si="2"/>
        <v>6968</v>
      </c>
      <c r="R21" s="40">
        <f t="shared" si="3"/>
        <v>4430.04</v>
      </c>
      <c r="Z21" s="41"/>
      <c r="AA21" s="41"/>
      <c r="AB21" s="41"/>
      <c r="AC21" s="41"/>
      <c r="AD21" s="41"/>
      <c r="AE21" s="41"/>
      <c r="AF21" s="41"/>
      <c r="AG21" s="38"/>
      <c r="AH21" s="38"/>
      <c r="AI21" s="80"/>
      <c r="AJ21" s="80"/>
      <c r="AK21" s="80">
        <v>0.75</v>
      </c>
      <c r="AL21" s="83">
        <f t="shared" si="5"/>
        <v>1.0835000000000008</v>
      </c>
      <c r="AM21" s="80">
        <v>6</v>
      </c>
      <c r="AN21" s="83">
        <f t="shared" si="4"/>
        <v>1.0835000000000008</v>
      </c>
      <c r="AO21" s="38"/>
      <c r="AP21" s="38"/>
      <c r="AQ21" s="38"/>
      <c r="AR21" s="38"/>
      <c r="AS21" s="80"/>
      <c r="AT21" s="80"/>
      <c r="AU21" s="80">
        <v>13</v>
      </c>
      <c r="AV21" s="83">
        <v>0.98</v>
      </c>
      <c r="AW21" s="80"/>
      <c r="AX21" s="42"/>
      <c r="AY21" s="42"/>
      <c r="AZ21" s="42"/>
      <c r="BA21" s="41"/>
      <c r="BF21" s="41"/>
      <c r="BG21" s="41"/>
      <c r="BH21" s="41"/>
      <c r="BI21" s="44"/>
      <c r="BJ21" s="41"/>
      <c r="BK21" s="44"/>
      <c r="BL21" s="41"/>
      <c r="BO21" s="41"/>
      <c r="BP21" s="49"/>
      <c r="BQ21" s="41"/>
      <c r="BR21" s="41"/>
      <c r="BS21" s="41"/>
      <c r="BT21" s="50"/>
      <c r="BU21" s="51"/>
    </row>
    <row r="22" spans="1:73" s="40" customFormat="1" x14ac:dyDescent="0.3">
      <c r="A22" s="38"/>
      <c r="B22" s="38" t="s">
        <v>89</v>
      </c>
      <c r="C22" s="38" t="s">
        <v>90</v>
      </c>
      <c r="D22" s="38" t="s">
        <v>65</v>
      </c>
      <c r="E22" s="38" t="s">
        <v>91</v>
      </c>
      <c r="F22" s="38" t="str">
        <f t="shared" si="1"/>
        <v>metal studs 16" O.C., 3-5/8" wide</v>
      </c>
      <c r="G22" s="45" t="s">
        <v>92</v>
      </c>
      <c r="H22" s="38">
        <v>5200</v>
      </c>
      <c r="I22" s="38">
        <v>1.48</v>
      </c>
      <c r="J22" s="38">
        <v>1.88</v>
      </c>
      <c r="K22" s="38"/>
      <c r="L22" s="38">
        <f t="shared" si="0"/>
        <v>3.36</v>
      </c>
      <c r="M22" s="38">
        <v>4.72</v>
      </c>
      <c r="N22" s="38" t="s">
        <v>73</v>
      </c>
      <c r="O22" s="38"/>
      <c r="P22" s="40">
        <f>((wide*0.5)*eheight)*ROUND(((high/12)-1),0)</f>
        <v>28800</v>
      </c>
      <c r="Q22" s="40">
        <f>P22*M22</f>
        <v>135936</v>
      </c>
      <c r="R22" s="40">
        <f>P22*L22</f>
        <v>96768</v>
      </c>
      <c r="Z22" s="41"/>
      <c r="AA22" s="41"/>
      <c r="AB22" s="41"/>
      <c r="AC22" s="41"/>
      <c r="AD22" s="41"/>
      <c r="AE22" s="41"/>
      <c r="AF22" s="41"/>
      <c r="AG22" s="38"/>
      <c r="AH22" s="38"/>
      <c r="AI22" s="80"/>
      <c r="AJ22" s="80"/>
      <c r="AK22" s="80">
        <v>0.8</v>
      </c>
      <c r="AL22" s="83">
        <f t="shared" si="5"/>
        <v>1.0802000000000009</v>
      </c>
      <c r="AM22" s="80">
        <v>7</v>
      </c>
      <c r="AN22" s="83">
        <f t="shared" si="4"/>
        <v>1.0802000000000009</v>
      </c>
      <c r="AO22" s="38"/>
      <c r="AP22" s="38"/>
      <c r="AQ22" s="38"/>
      <c r="AR22" s="38"/>
      <c r="AS22" s="80"/>
      <c r="AT22" s="82" t="s">
        <v>530</v>
      </c>
      <c r="AU22" s="80">
        <v>14</v>
      </c>
      <c r="AV22" s="84">
        <v>1</v>
      </c>
      <c r="AW22" s="80"/>
      <c r="AX22" s="42"/>
      <c r="AY22" s="42"/>
      <c r="AZ22" s="42"/>
      <c r="BA22" s="41"/>
      <c r="BF22" s="41"/>
      <c r="BG22" s="41"/>
      <c r="BH22" s="41"/>
      <c r="BI22" s="44"/>
      <c r="BJ22" s="41"/>
      <c r="BK22" s="44"/>
      <c r="BL22" s="41"/>
      <c r="BO22" s="41"/>
      <c r="BP22" s="49"/>
      <c r="BQ22" s="41"/>
      <c r="BR22" s="41"/>
      <c r="BS22" s="41"/>
      <c r="BT22" s="50"/>
      <c r="BU22" s="51"/>
    </row>
    <row r="23" spans="1:73" s="40" customFormat="1" x14ac:dyDescent="0.3">
      <c r="A23" s="38"/>
      <c r="B23" s="38" t="s">
        <v>93</v>
      </c>
      <c r="C23" s="38" t="s">
        <v>94</v>
      </c>
      <c r="D23" s="38" t="s">
        <v>65</v>
      </c>
      <c r="E23" s="38" t="s">
        <v>95</v>
      </c>
      <c r="F23" s="38" t="str">
        <f t="shared" si="1"/>
        <v>Corrugated. 0.019" thick painted, steel</v>
      </c>
      <c r="G23" s="45" t="s">
        <v>96</v>
      </c>
      <c r="H23" s="38">
        <v>12</v>
      </c>
      <c r="I23" s="38">
        <v>1.45</v>
      </c>
      <c r="J23" s="38">
        <v>1.63</v>
      </c>
      <c r="K23" s="38"/>
      <c r="L23" s="38">
        <f t="shared" ref="L23:L28" si="6">SUM(I23:K23)</f>
        <v>3.08</v>
      </c>
      <c r="M23" s="38">
        <v>4.2300000000000004</v>
      </c>
      <c r="N23" s="38" t="s">
        <v>97</v>
      </c>
      <c r="O23" s="38" t="s">
        <v>98</v>
      </c>
      <c r="P23" s="40">
        <f>((TAN(P2*PI()/180)*(wide/2))*wide/2)+((TAN(P3*PI()/180)*(wide/2))*(wide)/2)+(wide-door)*eheight</f>
        <v>3780.1261978157572</v>
      </c>
      <c r="Q23" s="40">
        <f>P23*M23*2</f>
        <v>31979.867633521309</v>
      </c>
      <c r="R23" s="40">
        <f>P23*L23*2</f>
        <v>23285.577378545066</v>
      </c>
      <c r="Z23" s="41"/>
      <c r="AA23" s="41"/>
      <c r="AB23" s="41"/>
      <c r="AC23" s="41"/>
      <c r="AD23" s="41"/>
      <c r="AE23" s="41"/>
      <c r="AF23" s="41"/>
      <c r="AG23" s="38"/>
      <c r="AH23" s="38"/>
      <c r="AI23" s="80"/>
      <c r="AJ23" s="80"/>
      <c r="AK23" s="80">
        <v>0.85</v>
      </c>
      <c r="AL23" s="83">
        <f t="shared" si="5"/>
        <v>1.0769000000000011</v>
      </c>
      <c r="AM23" s="80">
        <v>8</v>
      </c>
      <c r="AN23" s="83">
        <f t="shared" si="4"/>
        <v>1.0769000000000011</v>
      </c>
      <c r="AO23" s="38"/>
      <c r="AP23" s="38"/>
      <c r="AQ23" s="38"/>
      <c r="AR23" s="38"/>
      <c r="AS23" s="80"/>
      <c r="AT23" s="80"/>
      <c r="AU23" s="80">
        <v>15</v>
      </c>
      <c r="AV23" s="83">
        <v>1.02</v>
      </c>
      <c r="AW23" s="80"/>
      <c r="AX23" s="42"/>
      <c r="AY23" s="42"/>
      <c r="AZ23" s="42"/>
      <c r="BA23" s="41"/>
      <c r="BF23" s="41"/>
      <c r="BG23" s="41"/>
      <c r="BH23" s="41"/>
      <c r="BI23" s="44"/>
      <c r="BJ23" s="41"/>
      <c r="BK23" s="44"/>
      <c r="BL23" s="41"/>
      <c r="BO23" s="41"/>
      <c r="BP23" s="49"/>
      <c r="BQ23" s="41"/>
      <c r="BR23" s="41"/>
      <c r="BS23" s="41"/>
      <c r="BT23" s="50"/>
      <c r="BU23" s="51"/>
    </row>
    <row r="24" spans="1:73" s="40" customFormat="1" x14ac:dyDescent="0.3">
      <c r="A24" s="38"/>
      <c r="B24" s="38"/>
      <c r="C24" s="38" t="s">
        <v>99</v>
      </c>
      <c r="D24" s="38" t="s">
        <v>65</v>
      </c>
      <c r="E24" s="38" t="s">
        <v>95</v>
      </c>
      <c r="F24" s="38" t="str">
        <f t="shared" si="1"/>
        <v>Corrugated. 0.019" thick painted, steel</v>
      </c>
      <c r="G24" s="45" t="s">
        <v>96</v>
      </c>
      <c r="H24" s="38">
        <v>12</v>
      </c>
      <c r="I24" s="38">
        <v>1.45</v>
      </c>
      <c r="J24" s="38">
        <v>1.63</v>
      </c>
      <c r="K24" s="38"/>
      <c r="L24" s="38">
        <f t="shared" si="6"/>
        <v>3.08</v>
      </c>
      <c r="M24" s="38">
        <v>4.2300000000000004</v>
      </c>
      <c r="N24" s="38" t="s">
        <v>100</v>
      </c>
      <c r="O24" s="38" t="s">
        <v>101</v>
      </c>
      <c r="P24" s="40">
        <f>(high*(eheight-2))+(high*eheight)</f>
        <v>13800</v>
      </c>
      <c r="Q24" s="40">
        <f>P24*M24*2</f>
        <v>116748.00000000001</v>
      </c>
      <c r="R24" s="40">
        <f>P24*L24*2</f>
        <v>85008</v>
      </c>
      <c r="Z24" s="41"/>
      <c r="AA24" s="41"/>
      <c r="AB24" s="41"/>
      <c r="AC24" s="41"/>
      <c r="AD24" s="41"/>
      <c r="AE24" s="41"/>
      <c r="AF24" s="41"/>
      <c r="AG24" s="38"/>
      <c r="AH24" s="38"/>
      <c r="AI24" s="80"/>
      <c r="AJ24" s="80"/>
      <c r="AK24" s="80">
        <v>1.1000000000000001</v>
      </c>
      <c r="AL24" s="83">
        <f>AL23-(AL$40-AL$50)/10</f>
        <v>1.0736000000000012</v>
      </c>
      <c r="AM24" s="80">
        <v>13</v>
      </c>
      <c r="AN24" s="83">
        <f t="shared" si="4"/>
        <v>1.0736000000000012</v>
      </c>
      <c r="AO24" s="38"/>
      <c r="AP24" s="38"/>
      <c r="AQ24" s="38"/>
      <c r="AR24" s="38"/>
      <c r="AS24" s="80"/>
      <c r="AT24" s="80"/>
      <c r="AU24" s="80">
        <v>16</v>
      </c>
      <c r="AV24" s="83">
        <v>1.04</v>
      </c>
      <c r="AW24" s="80"/>
      <c r="AX24" s="42"/>
      <c r="AY24" s="42"/>
      <c r="AZ24" s="42"/>
      <c r="BA24" s="41"/>
      <c r="BF24" s="41"/>
      <c r="BG24" s="41"/>
      <c r="BH24" s="41"/>
      <c r="BI24" s="44"/>
      <c r="BJ24" s="41"/>
      <c r="BK24" s="44"/>
      <c r="BL24" s="41"/>
      <c r="BO24" s="41"/>
      <c r="BP24" s="49"/>
      <c r="BQ24" s="41"/>
      <c r="BR24" s="41"/>
      <c r="BS24" s="41"/>
      <c r="BT24" s="50"/>
      <c r="BU24" s="51"/>
    </row>
    <row r="25" spans="1:73" s="40" customFormat="1" x14ac:dyDescent="0.3">
      <c r="A25" s="38"/>
      <c r="B25" s="38"/>
      <c r="C25" s="38" t="s">
        <v>102</v>
      </c>
      <c r="D25" s="38" t="s">
        <v>65</v>
      </c>
      <c r="E25" s="38" t="s">
        <v>103</v>
      </c>
      <c r="F25" s="38" t="str">
        <f t="shared" si="1"/>
        <v>wood, 1-3/4" thick 12 X 12</v>
      </c>
      <c r="G25" s="45" t="s">
        <v>104</v>
      </c>
      <c r="H25" s="38">
        <v>1200</v>
      </c>
      <c r="I25" s="38">
        <v>1625</v>
      </c>
      <c r="J25" s="38">
        <v>425</v>
      </c>
      <c r="K25" s="38"/>
      <c r="L25" s="38">
        <f t="shared" si="6"/>
        <v>2050</v>
      </c>
      <c r="M25" s="38">
        <v>2500</v>
      </c>
      <c r="N25" s="38" t="s">
        <v>105</v>
      </c>
      <c r="O25" s="38"/>
      <c r="P25" s="40">
        <f>door/12*C3</f>
        <v>4</v>
      </c>
      <c r="Q25" s="40">
        <f>P25*M25</f>
        <v>10000</v>
      </c>
      <c r="R25" s="40">
        <f>P25*L25</f>
        <v>8200</v>
      </c>
      <c r="Z25" s="41"/>
      <c r="AA25" s="41"/>
      <c r="AB25" s="41"/>
      <c r="AC25" s="41"/>
      <c r="AD25" s="41"/>
      <c r="AE25" s="41"/>
      <c r="AF25" s="41"/>
      <c r="AG25" s="38"/>
      <c r="AH25" s="38"/>
      <c r="AI25" s="80"/>
      <c r="AJ25" s="80"/>
      <c r="AK25" s="80">
        <v>1.1499999999999999</v>
      </c>
      <c r="AL25" s="83">
        <f t="shared" si="5"/>
        <v>1.0703000000000014</v>
      </c>
      <c r="AM25" s="80">
        <v>14</v>
      </c>
      <c r="AN25" s="83">
        <f t="shared" si="4"/>
        <v>1.0703000000000014</v>
      </c>
      <c r="AO25" s="38"/>
      <c r="AP25" s="38"/>
      <c r="AQ25" s="38"/>
      <c r="AR25" s="38"/>
      <c r="AS25" s="80"/>
      <c r="AT25" s="80"/>
      <c r="AU25" s="80">
        <v>17</v>
      </c>
      <c r="AV25" s="83">
        <v>1.06</v>
      </c>
      <c r="AW25" s="80"/>
      <c r="AX25" s="42"/>
      <c r="AY25" s="42"/>
      <c r="AZ25" s="42"/>
      <c r="BA25" s="41"/>
      <c r="BF25" s="41"/>
      <c r="BG25" s="41"/>
      <c r="BH25" s="41"/>
      <c r="BI25" s="44"/>
      <c r="BJ25" s="41"/>
      <c r="BK25" s="44"/>
      <c r="BL25" s="41"/>
      <c r="BO25" s="41"/>
      <c r="BP25" s="49"/>
      <c r="BQ25" s="41"/>
      <c r="BR25" s="41"/>
      <c r="BS25" s="41"/>
      <c r="BT25" s="50"/>
      <c r="BU25" s="51"/>
    </row>
    <row r="26" spans="1:73" s="40" customFormat="1" x14ac:dyDescent="0.3">
      <c r="A26" s="31" t="s">
        <v>21</v>
      </c>
      <c r="B26" s="32" t="s">
        <v>106</v>
      </c>
      <c r="C26" s="32" t="s">
        <v>107</v>
      </c>
      <c r="D26" s="32" t="s">
        <v>46</v>
      </c>
      <c r="E26" s="32" t="s">
        <v>108</v>
      </c>
      <c r="F26" s="32" t="str">
        <f>E26</f>
        <v>18 ga X 6" deep beams</v>
      </c>
      <c r="G26" s="46" t="s">
        <v>109</v>
      </c>
      <c r="H26" s="32">
        <v>200</v>
      </c>
      <c r="I26" s="32">
        <v>6.7</v>
      </c>
      <c r="J26" s="32">
        <v>2.91</v>
      </c>
      <c r="K26" s="32"/>
      <c r="L26" s="32">
        <f t="shared" si="6"/>
        <v>9.61</v>
      </c>
      <c r="M26" s="32">
        <v>12.2</v>
      </c>
      <c r="N26" s="32" t="s">
        <v>110</v>
      </c>
      <c r="O26" s="32"/>
      <c r="P26" s="32">
        <f>(high/door+1)*door</f>
        <v>312</v>
      </c>
      <c r="Q26" s="40">
        <f>P26*M26</f>
        <v>3806.3999999999996</v>
      </c>
      <c r="R26" s="40">
        <f>P26*L26</f>
        <v>2998.3199999999997</v>
      </c>
      <c r="S26" s="40">
        <f>SUM(Q11:R25)</f>
        <v>1396279.5975562171</v>
      </c>
      <c r="Z26" s="41"/>
      <c r="AA26" s="41"/>
      <c r="AB26" s="41"/>
      <c r="AC26" s="41"/>
      <c r="AD26" s="41"/>
      <c r="AE26" s="41"/>
      <c r="AF26" s="41"/>
      <c r="AG26" s="1"/>
      <c r="AH26" s="1"/>
      <c r="AI26"/>
      <c r="AJ26"/>
      <c r="AK26">
        <v>1.2</v>
      </c>
      <c r="AL26">
        <v>1</v>
      </c>
      <c r="AM26">
        <v>15</v>
      </c>
      <c r="AN26" s="70">
        <f t="shared" si="4"/>
        <v>1</v>
      </c>
      <c r="AO26" s="60"/>
      <c r="AP26" s="60"/>
      <c r="AQ26" s="1"/>
      <c r="AR26" s="1"/>
      <c r="AS26"/>
      <c r="AT26"/>
      <c r="AU26">
        <v>18</v>
      </c>
      <c r="AV26">
        <v>1.08</v>
      </c>
      <c r="AW26"/>
      <c r="AX26" s="42"/>
      <c r="AY26" s="42"/>
      <c r="AZ26" s="42"/>
      <c r="BA26" s="41"/>
      <c r="BF26" s="41"/>
      <c r="BG26" s="41"/>
      <c r="BH26" s="41"/>
      <c r="BI26" s="44"/>
      <c r="BJ26" s="41"/>
      <c r="BK26" s="44"/>
      <c r="BL26" s="41"/>
      <c r="BO26" s="41"/>
      <c r="BP26" s="49"/>
      <c r="BQ26" s="41"/>
      <c r="BR26" s="41"/>
      <c r="BS26" s="41"/>
      <c r="BT26" s="50"/>
      <c r="BU26" s="51"/>
    </row>
    <row r="27" spans="1:73" s="40" customFormat="1" x14ac:dyDescent="0.3">
      <c r="A27" s="38"/>
      <c r="B27" s="38"/>
      <c r="C27" s="38" t="s">
        <v>111</v>
      </c>
      <c r="D27" s="38" t="s">
        <v>46</v>
      </c>
      <c r="E27" s="38" t="s">
        <v>112</v>
      </c>
      <c r="F27" s="38" t="str">
        <f>E27</f>
        <v>18 ga X 6" deep rafters, 2"</v>
      </c>
      <c r="G27" s="45" t="s">
        <v>113</v>
      </c>
      <c r="H27" s="38">
        <v>100</v>
      </c>
      <c r="I27" s="38">
        <v>6.7</v>
      </c>
      <c r="J27" s="38">
        <v>4</v>
      </c>
      <c r="K27" s="38"/>
      <c r="L27" s="38">
        <f t="shared" si="6"/>
        <v>10.7</v>
      </c>
      <c r="M27" s="38">
        <v>14</v>
      </c>
      <c r="N27" s="38" t="s">
        <v>114</v>
      </c>
      <c r="O27" s="38"/>
      <c r="P27" s="38">
        <f>(((TAN(P3*PI()/180)*(wide/2)))^2+(wide/2)^2)^0.5</f>
        <v>52.709244930884047</v>
      </c>
      <c r="Q27" s="40">
        <f>P27*M27*(high/door+1)</f>
        <v>19186.165154841794</v>
      </c>
      <c r="R27" s="40">
        <f>P27*L27*(high/door+1)</f>
        <v>14663.71193977194</v>
      </c>
      <c r="Z27" s="41"/>
      <c r="AA27" s="41"/>
      <c r="AB27" s="41"/>
      <c r="AC27" s="41"/>
      <c r="AD27" s="41"/>
      <c r="AE27" s="41"/>
      <c r="AF27" s="41"/>
      <c r="AG27" s="38"/>
      <c r="AH27" s="38"/>
      <c r="AI27" s="80"/>
      <c r="AJ27" s="80"/>
      <c r="AK27" s="80">
        <v>1.25</v>
      </c>
      <c r="AL27" s="83">
        <f t="shared" ref="AL27:AL35" si="7">AL26-(AL$50-AL$60)/10</f>
        <v>0.99849999999999994</v>
      </c>
      <c r="AM27" s="80">
        <v>16</v>
      </c>
      <c r="AN27" s="83">
        <f t="shared" si="4"/>
        <v>0.99849999999999994</v>
      </c>
      <c r="AO27" s="38"/>
      <c r="AP27" s="38"/>
      <c r="AQ27" s="38"/>
      <c r="AR27" s="38"/>
      <c r="AS27" s="80"/>
      <c r="AT27" s="80"/>
      <c r="AU27" s="80">
        <v>19</v>
      </c>
      <c r="AV27" s="83">
        <f>AVERAGE(AV26,AV28)</f>
        <v>1.105</v>
      </c>
      <c r="AW27" s="80"/>
      <c r="AX27" s="42"/>
      <c r="AY27" s="42"/>
      <c r="AZ27" s="42"/>
      <c r="BA27" s="41"/>
      <c r="BF27" s="41"/>
      <c r="BG27" s="41"/>
      <c r="BH27" s="41"/>
      <c r="BI27" s="44"/>
      <c r="BJ27" s="41"/>
      <c r="BK27" s="44"/>
      <c r="BL27" s="41"/>
      <c r="BO27" s="41"/>
      <c r="BP27" s="49"/>
      <c r="BQ27" s="41"/>
      <c r="BR27" s="41"/>
      <c r="BS27" s="41"/>
      <c r="BT27" s="50"/>
      <c r="BU27" s="51"/>
    </row>
    <row r="28" spans="1:73" s="40" customFormat="1" x14ac:dyDescent="0.3">
      <c r="A28" s="38"/>
      <c r="B28" s="38"/>
      <c r="C28" s="38" t="s">
        <v>115</v>
      </c>
      <c r="D28" s="38" t="s">
        <v>46</v>
      </c>
      <c r="E28" s="38" t="s">
        <v>112</v>
      </c>
      <c r="F28" s="38" t="str">
        <f>E28</f>
        <v>18 ga X 6" deep rafters, 2"</v>
      </c>
      <c r="G28" s="45" t="s">
        <v>113</v>
      </c>
      <c r="H28" s="38">
        <v>100</v>
      </c>
      <c r="I28" s="38">
        <v>6.7</v>
      </c>
      <c r="J28" s="38">
        <v>4</v>
      </c>
      <c r="K28" s="38"/>
      <c r="L28" s="38">
        <f t="shared" si="6"/>
        <v>10.7</v>
      </c>
      <c r="M28" s="38">
        <v>14</v>
      </c>
      <c r="N28" s="38" t="s">
        <v>114</v>
      </c>
      <c r="O28" s="38"/>
      <c r="P28" s="38">
        <f>(((TAN(P2*PI()/180)*(wide/2)))^2+(wide/2)^2)^0.5</f>
        <v>52.709244930884047</v>
      </c>
      <c r="Q28" s="40">
        <f>P28*M28*(high/door+1)</f>
        <v>19186.165154841794</v>
      </c>
      <c r="R28" s="40">
        <f>P28*L28*(high/door+1)</f>
        <v>14663.71193977194</v>
      </c>
      <c r="Y28" s="40">
        <f>(((TAN(P2*PI()/180)*(door))^2+door^2)^0.5)</f>
        <v>12.650218783412171</v>
      </c>
      <c r="Z28" s="41"/>
      <c r="AA28" s="41"/>
      <c r="AB28" s="41"/>
      <c r="AC28" s="41"/>
      <c r="AD28" s="41"/>
      <c r="AE28" s="41"/>
      <c r="AF28" s="41"/>
      <c r="AG28" s="38"/>
      <c r="AH28" s="38"/>
      <c r="AI28" s="80"/>
      <c r="AJ28" s="80"/>
      <c r="AK28" s="80">
        <v>1.3</v>
      </c>
      <c r="AL28" s="81">
        <f t="shared" si="7"/>
        <v>0.99699999999999989</v>
      </c>
      <c r="AM28" s="80">
        <v>17</v>
      </c>
      <c r="AN28" s="83">
        <f t="shared" si="4"/>
        <v>0.99699999999999989</v>
      </c>
      <c r="AO28" s="38"/>
      <c r="AP28" s="38"/>
      <c r="AQ28" s="38"/>
      <c r="AR28" s="38"/>
      <c r="AS28" s="80"/>
      <c r="AT28" s="80"/>
      <c r="AU28" s="80">
        <v>20</v>
      </c>
      <c r="AV28" s="83">
        <v>1.1299999999999999</v>
      </c>
      <c r="AW28" s="80"/>
      <c r="AX28" s="42"/>
      <c r="AY28" s="42"/>
      <c r="AZ28" s="42"/>
      <c r="BA28" s="41"/>
      <c r="BF28" s="41"/>
      <c r="BG28" s="41"/>
      <c r="BH28" s="41"/>
      <c r="BI28" s="44"/>
      <c r="BJ28" s="41"/>
      <c r="BK28" s="44"/>
      <c r="BL28" s="41"/>
      <c r="BO28" s="41"/>
      <c r="BP28" s="49"/>
      <c r="BQ28" s="41"/>
      <c r="BR28" s="41"/>
      <c r="BS28" s="41"/>
      <c r="BT28" s="50"/>
      <c r="BU28" s="51"/>
    </row>
    <row r="29" spans="1:73" s="40" customFormat="1" x14ac:dyDescent="0.3">
      <c r="A29" s="38"/>
      <c r="B29" s="38"/>
      <c r="C29" s="38" t="s">
        <v>116</v>
      </c>
      <c r="D29" s="38" t="s">
        <v>46</v>
      </c>
      <c r="E29" s="38" t="s">
        <v>117</v>
      </c>
      <c r="F29" s="38" t="str">
        <f>E29</f>
        <v>joist, 2" flange 18ga X 6" deep</v>
      </c>
      <c r="G29" s="45" t="s">
        <v>118</v>
      </c>
      <c r="H29" s="38">
        <v>220</v>
      </c>
      <c r="I29" s="38">
        <v>2.08</v>
      </c>
      <c r="J29" s="38"/>
      <c r="K29" s="38"/>
      <c r="L29" s="38">
        <f t="shared" ref="L29:L34" si="8">SUM(I29:K29)</f>
        <v>2.08</v>
      </c>
      <c r="M29" s="38">
        <v>2.29</v>
      </c>
      <c r="N29" s="38" t="s">
        <v>73</v>
      </c>
      <c r="O29" s="38" t="s">
        <v>14</v>
      </c>
      <c r="P29" s="87">
        <f>SUM(Y59:Y168)</f>
        <v>200.17514373789089</v>
      </c>
      <c r="Q29" s="40">
        <f>P29*M29*ROUND(((high/door)-1),0)</f>
        <v>11001.625899834484</v>
      </c>
      <c r="R29" s="40">
        <f>P29*L29*ROUND(((high/door)-1),0)</f>
        <v>9992.7431753955134</v>
      </c>
      <c r="Y29" s="40">
        <f>(((TAN(P3*PI()/180)*(wide-door))^2+(wide-door)^2)^0.5)</f>
        <v>92.768271078355923</v>
      </c>
      <c r="Z29" s="41"/>
      <c r="AA29" s="41"/>
      <c r="AB29" s="41"/>
      <c r="AC29" s="41"/>
      <c r="AD29" s="41"/>
      <c r="AE29" s="41"/>
      <c r="AF29" s="41"/>
      <c r="AG29" s="38"/>
      <c r="AH29" s="38"/>
      <c r="AI29" s="80"/>
      <c r="AJ29" s="80"/>
      <c r="AK29" s="80">
        <v>1.35</v>
      </c>
      <c r="AL29" s="81">
        <f t="shared" si="7"/>
        <v>0.99549999999999983</v>
      </c>
      <c r="AM29" s="80">
        <v>18</v>
      </c>
      <c r="AN29" s="83">
        <f t="shared" si="4"/>
        <v>0.99549999999999983</v>
      </c>
      <c r="AO29" s="38"/>
      <c r="AP29" s="38"/>
      <c r="AQ29" s="38"/>
      <c r="AR29" s="38"/>
      <c r="AS29" s="80"/>
      <c r="AT29" s="80"/>
      <c r="AU29" s="80">
        <v>21</v>
      </c>
      <c r="AV29" s="83">
        <f>AVERAGE(AV28,AV30)</f>
        <v>1.1549999999999998</v>
      </c>
      <c r="AW29" s="80"/>
      <c r="AX29" s="42"/>
      <c r="AY29" s="42"/>
      <c r="AZ29" s="42"/>
      <c r="BA29" s="41"/>
      <c r="BF29" s="41"/>
      <c r="BG29" s="41"/>
      <c r="BH29" s="41"/>
      <c r="BI29" s="44"/>
      <c r="BJ29" s="41"/>
      <c r="BK29" s="44"/>
      <c r="BL29" s="41"/>
      <c r="BO29" s="41"/>
      <c r="BP29" s="49"/>
      <c r="BQ29" s="41"/>
      <c r="BR29" s="41"/>
      <c r="BS29" s="41"/>
      <c r="BT29" s="50"/>
      <c r="BU29" s="51"/>
    </row>
    <row r="30" spans="1:73" s="40" customFormat="1" x14ac:dyDescent="0.3">
      <c r="A30" s="38"/>
      <c r="B30" s="38"/>
      <c r="C30" s="38"/>
      <c r="D30" s="38" t="s">
        <v>119</v>
      </c>
      <c r="E30" s="38" t="s">
        <v>120</v>
      </c>
      <c r="F30" s="38" t="str">
        <f>F29</f>
        <v>joist, 2" flange 18ga X 6" deep</v>
      </c>
      <c r="G30" s="45" t="s">
        <v>121</v>
      </c>
      <c r="H30" s="38">
        <v>1220</v>
      </c>
      <c r="I30" s="38"/>
      <c r="J30" s="38">
        <v>5.8</v>
      </c>
      <c r="K30" s="38"/>
      <c r="L30" s="38">
        <f t="shared" si="8"/>
        <v>5.8</v>
      </c>
      <c r="M30" s="38">
        <v>9.6</v>
      </c>
      <c r="N30" s="38" t="s">
        <v>73</v>
      </c>
      <c r="O30" s="38" t="s">
        <v>14</v>
      </c>
      <c r="P30" s="87">
        <f>P29/10</f>
        <v>20.017514373789091</v>
      </c>
      <c r="Q30" s="40">
        <f>P30*M30*ROUND(((high/door)-1),0)</f>
        <v>4612.0353117210061</v>
      </c>
      <c r="R30" s="40">
        <f>P30*L30*ROUND(((high/door)-1),0)</f>
        <v>2786.4380008314411</v>
      </c>
      <c r="Z30" s="41"/>
      <c r="AA30" s="41"/>
      <c r="AB30" s="41"/>
      <c r="AC30" s="41"/>
      <c r="AD30" s="41"/>
      <c r="AE30" s="41"/>
      <c r="AF30" s="41"/>
      <c r="AG30" s="38"/>
      <c r="AH30" s="38"/>
      <c r="AI30" s="80"/>
      <c r="AJ30" s="80"/>
      <c r="AK30" s="80">
        <v>1.4</v>
      </c>
      <c r="AL30" s="81">
        <f t="shared" si="7"/>
        <v>0.99399999999999977</v>
      </c>
      <c r="AM30" s="80">
        <v>19</v>
      </c>
      <c r="AN30" s="83">
        <f t="shared" si="4"/>
        <v>0.99399999999999977</v>
      </c>
      <c r="AO30" s="38"/>
      <c r="AP30" s="38"/>
      <c r="AQ30" s="38"/>
      <c r="AR30" s="38"/>
      <c r="AS30" s="80"/>
      <c r="AT30" s="80"/>
      <c r="AU30" s="80">
        <v>22</v>
      </c>
      <c r="AV30" s="81">
        <v>1.18</v>
      </c>
      <c r="AW30" s="80"/>
      <c r="AX30" s="42"/>
      <c r="AY30" s="42"/>
      <c r="AZ30" s="42"/>
      <c r="BA30" s="41"/>
      <c r="BF30" s="41"/>
      <c r="BG30" s="41"/>
      <c r="BH30" s="41"/>
      <c r="BI30" s="44"/>
      <c r="BJ30" s="41"/>
      <c r="BK30" s="44"/>
      <c r="BL30" s="41"/>
      <c r="BO30" s="41"/>
      <c r="BP30" s="49"/>
      <c r="BQ30" s="41"/>
      <c r="BR30" s="41"/>
      <c r="BS30" s="41"/>
      <c r="BT30" s="50"/>
      <c r="BU30" s="51"/>
    </row>
    <row r="31" spans="1:73" s="32" customFormat="1" x14ac:dyDescent="0.3">
      <c r="A31" s="38"/>
      <c r="B31" s="38"/>
      <c r="C31" s="38" t="s">
        <v>116</v>
      </c>
      <c r="D31" s="38" t="s">
        <v>46</v>
      </c>
      <c r="E31" s="38" t="s">
        <v>117</v>
      </c>
      <c r="F31" s="38" t="str">
        <f>E31</f>
        <v>joist, 2" flange 18ga X 6" deep</v>
      </c>
      <c r="G31" s="45" t="s">
        <v>118</v>
      </c>
      <c r="H31" s="38">
        <v>220</v>
      </c>
      <c r="I31" s="38">
        <v>2.08</v>
      </c>
      <c r="J31" s="38"/>
      <c r="K31" s="38"/>
      <c r="L31" s="38">
        <f t="shared" si="8"/>
        <v>2.08</v>
      </c>
      <c r="M31" s="38">
        <v>2.29</v>
      </c>
      <c r="N31" s="38" t="s">
        <v>73</v>
      </c>
      <c r="O31" s="38" t="s">
        <v>17</v>
      </c>
      <c r="P31" s="87">
        <f>SUM(AH59:AH168)</f>
        <v>0</v>
      </c>
      <c r="Q31" s="32">
        <f>P31*M31*ROUND(((high/door)-1),0)</f>
        <v>0</v>
      </c>
      <c r="R31" s="32">
        <f>P31*L31*ROUND(((high/door)-1),0)</f>
        <v>0</v>
      </c>
      <c r="Z31" s="33"/>
      <c r="AA31" s="33"/>
      <c r="AB31" s="33"/>
      <c r="AC31" s="33"/>
      <c r="AD31" s="33"/>
      <c r="AE31" s="33"/>
      <c r="AF31" s="33"/>
      <c r="AG31" s="38"/>
      <c r="AH31" s="38"/>
      <c r="AI31" s="80"/>
      <c r="AJ31" s="80"/>
      <c r="AK31" s="80">
        <v>1.45</v>
      </c>
      <c r="AL31" s="81">
        <f t="shared" si="7"/>
        <v>0.99249999999999972</v>
      </c>
      <c r="AM31" s="80">
        <v>20</v>
      </c>
      <c r="AN31" s="83">
        <f t="shared" si="4"/>
        <v>0.99249999999999972</v>
      </c>
      <c r="AO31" s="38"/>
      <c r="AP31" s="38"/>
      <c r="AQ31" s="38"/>
      <c r="AR31" s="38"/>
      <c r="AS31" s="80"/>
      <c r="AT31" s="80"/>
      <c r="AU31" s="80">
        <v>23</v>
      </c>
      <c r="AV31" s="83">
        <f>AVERAGE(AV30,AV32)</f>
        <v>1.2050000000000001</v>
      </c>
      <c r="AW31" s="80"/>
      <c r="AX31" s="34"/>
      <c r="AY31" s="34"/>
      <c r="AZ31" s="34"/>
      <c r="BA31" s="33"/>
      <c r="BF31" s="33"/>
      <c r="BG31" s="33"/>
      <c r="BH31" s="33"/>
      <c r="BI31" s="47"/>
      <c r="BJ31" s="33"/>
      <c r="BK31" s="47"/>
      <c r="BL31" s="33"/>
      <c r="BO31" s="33"/>
      <c r="BP31" s="52"/>
      <c r="BQ31" s="33"/>
      <c r="BR31" s="33"/>
      <c r="BS31" s="33"/>
      <c r="BT31" s="53"/>
      <c r="BU31" s="54"/>
    </row>
    <row r="32" spans="1:73" s="40" customFormat="1" x14ac:dyDescent="0.3">
      <c r="A32" s="38"/>
      <c r="B32" s="38"/>
      <c r="C32" s="38"/>
      <c r="D32" s="38" t="s">
        <v>119</v>
      </c>
      <c r="E32" s="38" t="s">
        <v>120</v>
      </c>
      <c r="F32" s="38" t="str">
        <f>F31</f>
        <v>joist, 2" flange 18ga X 6" deep</v>
      </c>
      <c r="G32" s="45" t="s">
        <v>121</v>
      </c>
      <c r="H32" s="38">
        <v>1220</v>
      </c>
      <c r="I32" s="38"/>
      <c r="J32" s="38">
        <v>5.8</v>
      </c>
      <c r="K32" s="38"/>
      <c r="L32" s="38">
        <f t="shared" si="8"/>
        <v>5.8</v>
      </c>
      <c r="M32" s="38">
        <v>9.6</v>
      </c>
      <c r="N32" s="38"/>
      <c r="O32" s="38" t="s">
        <v>17</v>
      </c>
      <c r="P32" s="87">
        <f>P31/10</f>
        <v>0</v>
      </c>
      <c r="Q32" s="32">
        <f>P32*M32*ROUND(((high/door)-1),0)</f>
        <v>0</v>
      </c>
      <c r="R32" s="40">
        <f>P32*L32*ROUND(((high/door)-1),0)</f>
        <v>0</v>
      </c>
      <c r="Z32" s="41"/>
      <c r="AA32" s="41"/>
      <c r="AB32" s="41"/>
      <c r="AC32" s="41"/>
      <c r="AD32" s="41"/>
      <c r="AE32" s="41"/>
      <c r="AF32" s="41"/>
      <c r="AG32" s="38"/>
      <c r="AH32" s="38"/>
      <c r="AI32" s="80"/>
      <c r="AJ32" s="80"/>
      <c r="AK32" s="80">
        <v>1.5</v>
      </c>
      <c r="AL32" s="81">
        <f t="shared" si="7"/>
        <v>0.99099999999999966</v>
      </c>
      <c r="AM32" s="80">
        <v>21</v>
      </c>
      <c r="AN32" s="83">
        <f t="shared" si="4"/>
        <v>0.99099999999999966</v>
      </c>
      <c r="AO32" s="38"/>
      <c r="AP32" s="38"/>
      <c r="AQ32" s="38"/>
      <c r="AR32" s="38"/>
      <c r="AS32" s="80"/>
      <c r="AT32" s="80"/>
      <c r="AU32" s="80">
        <v>24</v>
      </c>
      <c r="AV32" s="81">
        <v>1.23</v>
      </c>
      <c r="AW32" s="80"/>
      <c r="AX32" s="42"/>
      <c r="AY32" s="42"/>
      <c r="AZ32" s="42"/>
      <c r="BA32" s="41"/>
      <c r="BF32" s="41"/>
      <c r="BG32" s="41"/>
      <c r="BH32" s="41"/>
      <c r="BI32" s="44"/>
      <c r="BJ32" s="41"/>
      <c r="BK32" s="44"/>
      <c r="BL32" s="41"/>
      <c r="BO32" s="41"/>
      <c r="BP32" s="49"/>
      <c r="BQ32" s="41"/>
      <c r="BR32" s="41"/>
      <c r="BS32" s="41"/>
      <c r="BT32" s="50"/>
      <c r="BU32" s="51"/>
    </row>
    <row r="33" spans="1:73" s="40" customFormat="1" x14ac:dyDescent="0.3">
      <c r="A33" s="38"/>
      <c r="B33" s="38"/>
      <c r="C33" s="38" t="s">
        <v>122</v>
      </c>
      <c r="D33" s="38" t="s">
        <v>46</v>
      </c>
      <c r="E33" s="38" t="s">
        <v>123</v>
      </c>
      <c r="F33" s="38" t="str">
        <f>E33</f>
        <v>joist, 2" flange 12ga X 10" deep</v>
      </c>
      <c r="G33" s="45" t="s">
        <v>124</v>
      </c>
      <c r="H33" s="38">
        <v>540</v>
      </c>
      <c r="I33" s="38">
        <v>6.45</v>
      </c>
      <c r="J33" s="38"/>
      <c r="K33" s="38"/>
      <c r="L33" s="38">
        <f t="shared" si="8"/>
        <v>6.45</v>
      </c>
      <c r="M33" s="38">
        <v>7.1</v>
      </c>
      <c r="N33" s="38" t="s">
        <v>125</v>
      </c>
      <c r="O33" s="38"/>
      <c r="P33" s="38">
        <f>wide*(high/door+1)</f>
        <v>2600</v>
      </c>
      <c r="Q33" s="40">
        <f>P33*M33</f>
        <v>18460</v>
      </c>
      <c r="R33" s="40">
        <f>P33*L33</f>
        <v>16770</v>
      </c>
      <c r="Z33" s="41"/>
      <c r="AA33" s="41"/>
      <c r="AB33" s="41"/>
      <c r="AC33" s="41"/>
      <c r="AD33" s="41"/>
      <c r="AE33" s="41"/>
      <c r="AF33" s="41"/>
      <c r="AG33" s="38"/>
      <c r="AH33" s="38"/>
      <c r="AI33" s="80"/>
      <c r="AJ33" s="80"/>
      <c r="AK33" s="80">
        <v>1.55</v>
      </c>
      <c r="AL33" s="81">
        <f>AL32-(AL$50-AL$60)/10</f>
        <v>0.9894999999999996</v>
      </c>
      <c r="AM33" s="80">
        <v>22</v>
      </c>
      <c r="AN33" s="83">
        <f t="shared" si="4"/>
        <v>0.9894999999999996</v>
      </c>
      <c r="AO33" s="38"/>
      <c r="AP33" s="38"/>
      <c r="AQ33" s="38"/>
      <c r="AR33" s="38"/>
      <c r="AS33" s="80"/>
      <c r="AT33" s="80"/>
      <c r="AU33" s="80">
        <v>25</v>
      </c>
      <c r="AV33" s="81">
        <f>(AV$38-AV$32)/6+AV32</f>
        <v>1.2549999999999999</v>
      </c>
      <c r="AW33" s="80"/>
      <c r="AX33" s="42"/>
      <c r="AY33" s="42"/>
      <c r="AZ33" s="42"/>
      <c r="BA33" s="41"/>
      <c r="BF33" s="41"/>
      <c r="BG33" s="41"/>
      <c r="BH33" s="41"/>
      <c r="BI33" s="44"/>
      <c r="BJ33" s="41"/>
      <c r="BK33" s="44"/>
      <c r="BL33" s="41"/>
      <c r="BO33" s="41"/>
      <c r="BP33" s="49"/>
      <c r="BQ33" s="41"/>
      <c r="BR33" s="41"/>
      <c r="BS33" s="41"/>
      <c r="BT33" s="50"/>
      <c r="BU33" s="51"/>
    </row>
    <row r="34" spans="1:73" s="40" customFormat="1" x14ac:dyDescent="0.3">
      <c r="A34" s="38"/>
      <c r="B34" s="38"/>
      <c r="C34" s="38"/>
      <c r="D34" s="38" t="s">
        <v>119</v>
      </c>
      <c r="E34" s="38" t="s">
        <v>120</v>
      </c>
      <c r="F34" s="38" t="str">
        <f>E34</f>
        <v>labor</v>
      </c>
      <c r="G34" s="45" t="s">
        <v>126</v>
      </c>
      <c r="H34" s="38">
        <v>1220</v>
      </c>
      <c r="I34" s="38"/>
      <c r="J34" s="38">
        <v>16</v>
      </c>
      <c r="K34" s="38"/>
      <c r="L34" s="38">
        <f t="shared" si="8"/>
        <v>16</v>
      </c>
      <c r="M34" s="38">
        <v>26.5</v>
      </c>
      <c r="N34" s="38"/>
      <c r="O34" s="38" t="s">
        <v>17</v>
      </c>
      <c r="P34" s="87">
        <f>P33/10</f>
        <v>260</v>
      </c>
      <c r="Q34" s="40">
        <f>P34*M34*ROUND(((high/12)-1),0)</f>
        <v>165360</v>
      </c>
      <c r="R34" s="40">
        <f>P34*L34*ROUND(((high/12)-1),0)</f>
        <v>99840</v>
      </c>
      <c r="Z34" s="41"/>
      <c r="AA34" s="41"/>
      <c r="AB34" s="41"/>
      <c r="AC34" s="41"/>
      <c r="AD34" s="41"/>
      <c r="AE34" s="41"/>
      <c r="AF34" s="41"/>
      <c r="AG34" s="38"/>
      <c r="AH34" s="38"/>
      <c r="AI34" s="80"/>
      <c r="AJ34" s="80"/>
      <c r="AK34" s="80">
        <v>1.6</v>
      </c>
      <c r="AL34" s="81">
        <f t="shared" si="7"/>
        <v>0.98799999999999955</v>
      </c>
      <c r="AM34" s="80">
        <v>23</v>
      </c>
      <c r="AN34" s="83">
        <f t="shared" si="4"/>
        <v>0.98799999999999955</v>
      </c>
      <c r="AO34" s="38"/>
      <c r="AP34" s="38"/>
      <c r="AQ34" s="38"/>
      <c r="AR34" s="38"/>
      <c r="AS34" s="80"/>
      <c r="AT34" s="80"/>
      <c r="AU34" s="80">
        <v>26</v>
      </c>
      <c r="AV34" s="81">
        <f>(AV$38-AV$32)/6+AV33</f>
        <v>1.2799999999999998</v>
      </c>
      <c r="AW34" s="80"/>
      <c r="AX34" s="42"/>
      <c r="AY34" s="42"/>
      <c r="AZ34" s="42"/>
      <c r="BA34" s="41"/>
      <c r="BF34" s="41"/>
      <c r="BG34" s="41"/>
      <c r="BH34" s="41"/>
      <c r="BI34" s="44"/>
      <c r="BJ34" s="41"/>
      <c r="BK34" s="44"/>
      <c r="BL34" s="41"/>
      <c r="BO34" s="41"/>
      <c r="BP34" s="49"/>
      <c r="BQ34" s="41"/>
      <c r="BR34" s="41"/>
      <c r="BS34" s="41"/>
      <c r="BT34" s="50"/>
      <c r="BU34" s="51"/>
    </row>
    <row r="35" spans="1:73" s="40" customFormat="1" x14ac:dyDescent="0.3">
      <c r="A35" s="38"/>
      <c r="B35" s="38"/>
      <c r="C35" s="38" t="s">
        <v>127</v>
      </c>
      <c r="D35" s="38" t="s">
        <v>46</v>
      </c>
      <c r="E35" s="38" t="s">
        <v>128</v>
      </c>
      <c r="F35" s="38" t="str">
        <f>E35</f>
        <v>2" X 8"</v>
      </c>
      <c r="G35" s="45" t="s">
        <v>129</v>
      </c>
      <c r="H35" s="38">
        <v>6070</v>
      </c>
      <c r="I35" s="38">
        <v>0.71</v>
      </c>
      <c r="J35" s="38">
        <v>2.84</v>
      </c>
      <c r="K35" s="38"/>
      <c r="L35" s="38">
        <f>SUM(I35:K35)</f>
        <v>3.55</v>
      </c>
      <c r="M35" s="38">
        <v>5.45</v>
      </c>
      <c r="N35" s="38" t="s">
        <v>130</v>
      </c>
      <c r="O35" s="38"/>
      <c r="P35" s="38">
        <f>high*2</f>
        <v>600</v>
      </c>
      <c r="Q35" s="40">
        <f>P35*M35</f>
        <v>3270</v>
      </c>
      <c r="R35" s="40">
        <f>P35*L35</f>
        <v>2130</v>
      </c>
      <c r="Z35" s="41"/>
      <c r="AA35" s="41"/>
      <c r="AB35" s="41"/>
      <c r="AC35" s="41"/>
      <c r="AD35" s="41"/>
      <c r="AE35" s="41"/>
      <c r="AF35" s="41"/>
      <c r="AG35" s="38"/>
      <c r="AH35" s="38"/>
      <c r="AI35" s="80"/>
      <c r="AJ35" s="80"/>
      <c r="AK35" s="80">
        <v>1.65</v>
      </c>
      <c r="AL35" s="81">
        <f t="shared" si="7"/>
        <v>0.98649999999999949</v>
      </c>
      <c r="AM35" s="80">
        <v>24</v>
      </c>
      <c r="AN35" s="83">
        <f t="shared" si="4"/>
        <v>0.98649999999999949</v>
      </c>
      <c r="AO35" s="38"/>
      <c r="AP35" s="38"/>
      <c r="AQ35" s="38"/>
      <c r="AR35" s="38"/>
      <c r="AS35" s="80"/>
      <c r="AT35" s="80"/>
      <c r="AU35" s="80">
        <v>27</v>
      </c>
      <c r="AV35" s="81">
        <f>(AV$38-AV$32)/6+AV34</f>
        <v>1.3049999999999997</v>
      </c>
      <c r="AW35" s="80"/>
      <c r="AX35" s="42"/>
      <c r="AY35" s="42"/>
      <c r="AZ35" s="42"/>
      <c r="BA35" s="41"/>
      <c r="BF35" s="41"/>
      <c r="BG35" s="41"/>
      <c r="BH35" s="41"/>
      <c r="BI35" s="44"/>
      <c r="BJ35" s="41"/>
      <c r="BK35" s="44"/>
      <c r="BL35" s="41"/>
      <c r="BO35" s="41"/>
      <c r="BP35" s="49"/>
      <c r="BQ35" s="41"/>
      <c r="BR35" s="41"/>
      <c r="BS35" s="41"/>
      <c r="BT35" s="50"/>
      <c r="BU35" s="51"/>
    </row>
    <row r="36" spans="1:73" s="40" customFormat="1" x14ac:dyDescent="0.3">
      <c r="A36" s="38"/>
      <c r="B36" s="38" t="s">
        <v>131</v>
      </c>
      <c r="C36" s="38" t="s">
        <v>132</v>
      </c>
      <c r="D36" s="38" t="s">
        <v>65</v>
      </c>
      <c r="E36" s="38" t="s">
        <v>133</v>
      </c>
      <c r="F36" s="38" t="str">
        <f>E36</f>
        <v>Zinc aluminum alloy finish 22 ga</v>
      </c>
      <c r="G36" s="45" t="s">
        <v>134</v>
      </c>
      <c r="H36" s="38">
        <v>915</v>
      </c>
      <c r="I36" s="38">
        <v>4.45</v>
      </c>
      <c r="J36" s="38">
        <v>1.4</v>
      </c>
      <c r="K36" s="38"/>
      <c r="L36" s="38">
        <f>SUM(I36:K36)</f>
        <v>5.85</v>
      </c>
      <c r="M36" s="38">
        <v>7.15</v>
      </c>
      <c r="N36" s="38" t="s">
        <v>135</v>
      </c>
      <c r="O36" s="38"/>
      <c r="P36" s="38">
        <f>((((TAN(P2*PI()/180)*(wide/2)))^2+(wide/2)^2)^0.5)*high*2</f>
        <v>31625.546958530427</v>
      </c>
      <c r="Q36" s="40">
        <f>P36*M36</f>
        <v>226122.66075349256</v>
      </c>
      <c r="R36" s="40">
        <f>P36*L36</f>
        <v>185009.44970740299</v>
      </c>
      <c r="Z36" s="41"/>
      <c r="AA36" s="41"/>
      <c r="AB36" s="41"/>
      <c r="AC36" s="41"/>
      <c r="AD36" s="41"/>
      <c r="AE36" s="41"/>
      <c r="AF36" s="41"/>
      <c r="AG36" s="38"/>
      <c r="AH36" s="38"/>
      <c r="AI36" s="80"/>
      <c r="AJ36" s="80"/>
      <c r="AK36" s="80">
        <v>1.7</v>
      </c>
      <c r="AL36" s="81">
        <f t="shared" ref="AL36:AL41" si="9">AL35-(AL$32-AL$42)/10</f>
        <v>0.98139999999999949</v>
      </c>
      <c r="AM36" s="80">
        <v>25</v>
      </c>
      <c r="AN36" s="83">
        <f t="shared" si="4"/>
        <v>0.98139999999999949</v>
      </c>
      <c r="AO36" s="38"/>
      <c r="AP36" s="38"/>
      <c r="AQ36" s="38"/>
      <c r="AR36" s="38"/>
      <c r="AS36" s="80"/>
      <c r="AT36" s="80"/>
      <c r="AU36" s="80">
        <v>28</v>
      </c>
      <c r="AV36" s="81">
        <f>(AV$38-AV$32)/6+AV35</f>
        <v>1.3299999999999996</v>
      </c>
      <c r="AW36" s="80"/>
      <c r="AX36" s="42"/>
      <c r="AY36" s="42"/>
      <c r="AZ36" s="42"/>
      <c r="BA36" s="41"/>
      <c r="BF36" s="41"/>
      <c r="BG36" s="41"/>
      <c r="BH36" s="41"/>
      <c r="BI36" s="44"/>
      <c r="BJ36" s="41"/>
      <c r="BK36" s="44"/>
      <c r="BL36" s="41"/>
      <c r="BO36" s="41"/>
      <c r="BP36" s="49"/>
      <c r="BQ36" s="41"/>
      <c r="BR36" s="41"/>
      <c r="BS36" s="41"/>
      <c r="BT36" s="50"/>
      <c r="BU36" s="51"/>
    </row>
    <row r="37" spans="1:73" s="40" customFormat="1" x14ac:dyDescent="0.3">
      <c r="A37" s="38"/>
      <c r="B37" s="38"/>
      <c r="C37" s="38" t="s">
        <v>136</v>
      </c>
      <c r="D37" s="38" t="s">
        <v>46</v>
      </c>
      <c r="E37" s="38" t="s">
        <v>137</v>
      </c>
      <c r="F37" s="38" t="str">
        <f>E37</f>
        <v>2 X 4,  2' O.C.</v>
      </c>
      <c r="G37" s="45" t="s">
        <v>138</v>
      </c>
      <c r="H37" s="38">
        <v>380</v>
      </c>
      <c r="I37" s="38">
        <v>3.63</v>
      </c>
      <c r="J37" s="38">
        <v>1.07</v>
      </c>
      <c r="K37" s="38"/>
      <c r="L37" s="38">
        <f>SUM(I37:K37)</f>
        <v>4.7</v>
      </c>
      <c r="M37" s="38">
        <v>5.75</v>
      </c>
      <c r="N37" s="38" t="s">
        <v>139</v>
      </c>
      <c r="O37" s="38"/>
      <c r="P37" s="38">
        <f>(((((TAN(P12*PI()/180)*(wide/2)))^2+(wide/2)^2)^0.5)/2)*high*2</f>
        <v>30000.000000000815</v>
      </c>
      <c r="Q37" s="40">
        <f>P37*M37</f>
        <v>172500.00000000469</v>
      </c>
      <c r="R37" s="40">
        <f>P37*L37</f>
        <v>141000.00000000384</v>
      </c>
      <c r="Z37" s="41"/>
      <c r="AA37" s="41"/>
      <c r="AB37" s="41"/>
      <c r="AC37" s="41"/>
      <c r="AD37" s="41"/>
      <c r="AE37" s="41"/>
      <c r="AF37" s="41"/>
      <c r="AG37" s="38"/>
      <c r="AH37" s="38"/>
      <c r="AI37" s="80"/>
      <c r="AJ37" s="80"/>
      <c r="AK37" s="80">
        <v>1.75</v>
      </c>
      <c r="AL37" s="81">
        <f t="shared" si="9"/>
        <v>0.9762999999999995</v>
      </c>
      <c r="AM37" s="80">
        <v>26</v>
      </c>
      <c r="AN37" s="83">
        <f t="shared" si="4"/>
        <v>0.9762999999999995</v>
      </c>
      <c r="AO37" s="38"/>
      <c r="AP37" s="38"/>
      <c r="AQ37" s="38"/>
      <c r="AR37" s="38"/>
      <c r="AS37" s="80"/>
      <c r="AT37" s="80"/>
      <c r="AU37" s="80">
        <v>29</v>
      </c>
      <c r="AV37" s="81">
        <f>(AV$38-AV$32)/6+AV36</f>
        <v>1.3549999999999995</v>
      </c>
      <c r="AW37" s="80"/>
      <c r="AX37" s="42"/>
      <c r="AY37" s="42"/>
      <c r="AZ37" s="42"/>
      <c r="BA37" s="41"/>
      <c r="BF37" s="41"/>
      <c r="BG37" s="41"/>
      <c r="BH37" s="41"/>
      <c r="BI37" s="44"/>
      <c r="BJ37" s="41"/>
      <c r="BK37" s="44"/>
      <c r="BL37" s="41"/>
      <c r="BO37" s="41"/>
      <c r="BP37" s="49"/>
      <c r="BQ37" s="41"/>
      <c r="BR37" s="41"/>
      <c r="BS37" s="41"/>
      <c r="BT37" s="50"/>
      <c r="BU37" s="51"/>
    </row>
    <row r="38" spans="1:73" s="40" customFormat="1" x14ac:dyDescent="0.3">
      <c r="A38" s="31" t="s">
        <v>22</v>
      </c>
      <c r="B38" s="32" t="s">
        <v>106</v>
      </c>
      <c r="C38" s="32" t="s">
        <v>140</v>
      </c>
      <c r="D38" s="32" t="s">
        <v>46</v>
      </c>
      <c r="E38" s="32" t="s">
        <v>141</v>
      </c>
      <c r="F38" s="32" t="s">
        <v>142</v>
      </c>
      <c r="G38" s="32" t="s">
        <v>143</v>
      </c>
      <c r="H38" s="32">
        <v>800</v>
      </c>
      <c r="I38" s="32">
        <v>4.6900000000000004</v>
      </c>
      <c r="J38" s="32">
        <v>7.1</v>
      </c>
      <c r="K38" s="32">
        <v>0</v>
      </c>
      <c r="L38" s="32">
        <v>11.79</v>
      </c>
      <c r="M38" s="32">
        <v>16.149999999999999</v>
      </c>
      <c r="N38" s="32" t="s">
        <v>144</v>
      </c>
      <c r="O38" s="32"/>
      <c r="P38" s="32">
        <f>4</f>
        <v>4</v>
      </c>
      <c r="Q38" s="32">
        <f>P38*M38*((F3)^0.5)/10*10</f>
        <v>1582.3703738379327</v>
      </c>
      <c r="R38" s="32">
        <f>P38*L38*((F3)^0.5)/10*10</f>
        <v>1155.1793626965466</v>
      </c>
      <c r="T38" s="40">
        <f>SUM(Q26:R37)</f>
        <v>1133359.4270379138</v>
      </c>
      <c r="Z38" s="41"/>
      <c r="AA38" s="41"/>
      <c r="AB38" s="41"/>
      <c r="AC38" s="41"/>
      <c r="AD38" s="41"/>
      <c r="AE38" s="41"/>
      <c r="AF38" s="41"/>
      <c r="AG38" s="60"/>
      <c r="AH38" s="60"/>
      <c r="AI38" s="61"/>
      <c r="AJ38" s="61"/>
      <c r="AK38" s="61">
        <v>1.8</v>
      </c>
      <c r="AL38" s="85">
        <f t="shared" si="9"/>
        <v>0.97119999999999951</v>
      </c>
      <c r="AM38" s="61">
        <v>27</v>
      </c>
      <c r="AN38" s="62">
        <f t="shared" si="4"/>
        <v>0.97119999999999951</v>
      </c>
      <c r="AO38" s="60"/>
      <c r="AP38" s="60"/>
      <c r="AQ38" s="60"/>
      <c r="AR38" s="60"/>
      <c r="AS38" s="61"/>
      <c r="AT38" s="61"/>
      <c r="AU38">
        <v>30</v>
      </c>
      <c r="AV38" s="85">
        <v>1.38</v>
      </c>
      <c r="AW38" s="61"/>
      <c r="AX38" s="42"/>
      <c r="AY38" s="42"/>
      <c r="AZ38" s="42"/>
      <c r="BA38" s="41"/>
      <c r="BF38" s="41"/>
      <c r="BG38" s="41"/>
      <c r="BH38" s="41"/>
      <c r="BI38" s="44"/>
      <c r="BJ38" s="41"/>
      <c r="BK38" s="44"/>
      <c r="BL38" s="41"/>
      <c r="BO38" s="41"/>
      <c r="BP38" s="49"/>
      <c r="BQ38" s="41"/>
      <c r="BR38" s="41"/>
      <c r="BS38" s="41"/>
      <c r="BT38" s="50"/>
      <c r="BU38" s="51"/>
    </row>
    <row r="39" spans="1:73" s="40" customFormat="1" x14ac:dyDescent="0.3">
      <c r="A39" s="37"/>
      <c r="B39" s="38"/>
      <c r="C39" s="38" t="s">
        <v>81</v>
      </c>
      <c r="D39" s="38" t="s">
        <v>52</v>
      </c>
      <c r="E39" s="38" t="s">
        <v>82</v>
      </c>
      <c r="F39" s="38" t="s">
        <v>145</v>
      </c>
      <c r="G39" s="38" t="s">
        <v>83</v>
      </c>
      <c r="H39" s="38">
        <v>1150</v>
      </c>
      <c r="I39" s="38">
        <v>2.2000000000000002</v>
      </c>
      <c r="J39" s="38">
        <v>1.83</v>
      </c>
      <c r="K39" s="38">
        <v>0</v>
      </c>
      <c r="L39" s="38">
        <v>4.03</v>
      </c>
      <c r="M39" s="38">
        <v>5.25</v>
      </c>
      <c r="N39" s="38" t="s">
        <v>84</v>
      </c>
      <c r="O39" s="38"/>
      <c r="P39" s="38">
        <f>4*2</f>
        <v>8</v>
      </c>
      <c r="Q39" s="38">
        <f t="shared" ref="Q39:Q54" si="10">P39*M39</f>
        <v>42</v>
      </c>
      <c r="R39" s="38">
        <f t="shared" ref="R39:R54" si="11">P39*L39</f>
        <v>32.24</v>
      </c>
      <c r="Z39" s="41"/>
      <c r="AA39" s="41"/>
      <c r="AB39" s="41"/>
      <c r="AC39" s="41"/>
      <c r="AD39" s="41"/>
      <c r="AE39" s="41"/>
      <c r="AF39" s="41"/>
      <c r="AG39" s="38"/>
      <c r="AH39" s="38"/>
      <c r="AI39" s="80"/>
      <c r="AJ39" s="80"/>
      <c r="AK39" s="80">
        <v>1.85</v>
      </c>
      <c r="AL39" s="81">
        <f t="shared" si="9"/>
        <v>0.96609999999999951</v>
      </c>
      <c r="AM39" s="80">
        <v>28</v>
      </c>
      <c r="AN39" s="83">
        <f t="shared" si="4"/>
        <v>0.96609999999999951</v>
      </c>
      <c r="AO39" s="38"/>
      <c r="AP39" s="38"/>
      <c r="AQ39" s="38"/>
      <c r="AR39" s="38"/>
      <c r="AS39" s="80"/>
      <c r="AT39" s="80"/>
      <c r="AU39" s="80">
        <v>31</v>
      </c>
      <c r="AV39" s="81">
        <f>(AV$43-AV$38)/5+AV38</f>
        <v>1.4059999999999999</v>
      </c>
      <c r="AW39" s="80"/>
      <c r="AX39" s="42"/>
      <c r="AY39" s="42"/>
      <c r="AZ39" s="42"/>
      <c r="BA39" s="41"/>
      <c r="BF39" s="41"/>
      <c r="BG39" s="41"/>
      <c r="BH39" s="41"/>
      <c r="BI39" s="44"/>
      <c r="BJ39" s="41"/>
      <c r="BK39" s="44"/>
      <c r="BL39" s="41"/>
      <c r="BO39" s="41"/>
      <c r="BP39" s="49"/>
      <c r="BQ39" s="41"/>
      <c r="BR39" s="41"/>
      <c r="BS39" s="41"/>
      <c r="BT39" s="50"/>
      <c r="BU39" s="51"/>
    </row>
    <row r="40" spans="1:73" s="40" customFormat="1" x14ac:dyDescent="0.3">
      <c r="A40" s="37"/>
      <c r="B40" s="38"/>
      <c r="C40" s="38" t="s">
        <v>85</v>
      </c>
      <c r="D40" s="38" t="s">
        <v>52</v>
      </c>
      <c r="E40" s="38" t="s">
        <v>86</v>
      </c>
      <c r="F40" s="38" t="s">
        <v>146</v>
      </c>
      <c r="G40" s="38" t="s">
        <v>87</v>
      </c>
      <c r="H40" s="38">
        <v>140</v>
      </c>
      <c r="I40" s="38">
        <v>2.33</v>
      </c>
      <c r="J40" s="38">
        <v>14.2</v>
      </c>
      <c r="K40" s="38">
        <v>0</v>
      </c>
      <c r="L40" s="38">
        <v>16.53</v>
      </c>
      <c r="M40" s="38">
        <v>24.56</v>
      </c>
      <c r="N40" s="38" t="s">
        <v>88</v>
      </c>
      <c r="O40" s="38"/>
      <c r="P40" s="38">
        <f>P38</f>
        <v>4</v>
      </c>
      <c r="Q40" s="38">
        <f t="shared" si="10"/>
        <v>98.24</v>
      </c>
      <c r="R40" s="38">
        <f t="shared" si="11"/>
        <v>66.12</v>
      </c>
      <c r="Z40" s="41"/>
      <c r="AA40" s="41"/>
      <c r="AB40" s="41"/>
      <c r="AC40" s="41"/>
      <c r="AD40" s="41"/>
      <c r="AE40" s="41"/>
      <c r="AF40" s="41"/>
      <c r="AG40" s="38"/>
      <c r="AH40" s="38"/>
      <c r="AI40" s="80"/>
      <c r="AJ40" s="80"/>
      <c r="AK40" s="80">
        <v>1.9</v>
      </c>
      <c r="AL40" s="81">
        <f t="shared" si="9"/>
        <v>0.96099999999999952</v>
      </c>
      <c r="AM40" s="80">
        <v>29</v>
      </c>
      <c r="AN40" s="83">
        <f t="shared" si="4"/>
        <v>0.96099999999999952</v>
      </c>
      <c r="AO40" s="38"/>
      <c r="AP40" s="38"/>
      <c r="AQ40" s="38"/>
      <c r="AR40" s="38"/>
      <c r="AS40" s="80"/>
      <c r="AT40" s="80"/>
      <c r="AU40" s="80">
        <v>32</v>
      </c>
      <c r="AV40" s="81">
        <f>(AV$43-AV$38)/5+AV39</f>
        <v>1.4319999999999999</v>
      </c>
      <c r="AW40" s="80"/>
      <c r="AX40" s="42"/>
      <c r="AY40" s="42"/>
      <c r="AZ40" s="42"/>
      <c r="BA40" s="41"/>
      <c r="BF40" s="41"/>
      <c r="BG40" s="41"/>
      <c r="BH40" s="41"/>
      <c r="BI40" s="44"/>
      <c r="BJ40" s="41"/>
      <c r="BK40" s="44"/>
      <c r="BL40" s="41"/>
      <c r="BO40" s="41"/>
      <c r="BP40" s="49"/>
      <c r="BQ40" s="41"/>
      <c r="BR40" s="41"/>
      <c r="BS40" s="41"/>
      <c r="BT40" s="50"/>
      <c r="BU40" s="51"/>
    </row>
    <row r="41" spans="1:73" s="40" customFormat="1" x14ac:dyDescent="0.3">
      <c r="A41" s="38"/>
      <c r="B41" s="38"/>
      <c r="C41" s="38" t="s">
        <v>147</v>
      </c>
      <c r="D41" s="38" t="s">
        <v>65</v>
      </c>
      <c r="E41" s="38" t="s">
        <v>148</v>
      </c>
      <c r="F41" s="38" t="str">
        <f>E41</f>
        <v>8" X16" units. 4" thick</v>
      </c>
      <c r="G41" s="45" t="s">
        <v>149</v>
      </c>
      <c r="H41" s="38">
        <v>100</v>
      </c>
      <c r="I41" s="38">
        <v>3.51</v>
      </c>
      <c r="J41" s="38">
        <v>3.72</v>
      </c>
      <c r="K41" s="38"/>
      <c r="L41" s="38">
        <f>SUM(I41:K41)</f>
        <v>7.23</v>
      </c>
      <c r="M41" s="38">
        <v>9.85</v>
      </c>
      <c r="N41" s="38" t="s">
        <v>100</v>
      </c>
      <c r="O41" s="38"/>
      <c r="P41" s="38">
        <f>(F3^0.5*F3^0.5)*2</f>
        <v>1200</v>
      </c>
      <c r="Q41" s="38">
        <f t="shared" si="10"/>
        <v>11820</v>
      </c>
      <c r="R41" s="38">
        <f t="shared" si="11"/>
        <v>8676</v>
      </c>
      <c r="Z41" s="41"/>
      <c r="AA41" s="41"/>
      <c r="AB41" s="41"/>
      <c r="AC41" s="41"/>
      <c r="AD41" s="41"/>
      <c r="AE41" s="41"/>
      <c r="AF41" s="41"/>
      <c r="AG41" s="38"/>
      <c r="AH41" s="38"/>
      <c r="AI41" s="80"/>
      <c r="AJ41" s="80"/>
      <c r="AK41" s="80">
        <v>1.95</v>
      </c>
      <c r="AL41" s="81">
        <f t="shared" si="9"/>
        <v>0.95589999999999953</v>
      </c>
      <c r="AM41" s="80">
        <v>30</v>
      </c>
      <c r="AN41" s="83">
        <f t="shared" si="4"/>
        <v>0.95589999999999953</v>
      </c>
      <c r="AO41" s="38"/>
      <c r="AP41" s="38"/>
      <c r="AQ41" s="38"/>
      <c r="AR41" s="38"/>
      <c r="AS41" s="80"/>
      <c r="AT41" s="80"/>
      <c r="AU41" s="80">
        <v>33</v>
      </c>
      <c r="AV41" s="81">
        <f>(AV$43-AV$38)/5+AV40</f>
        <v>1.458</v>
      </c>
      <c r="AW41" s="80"/>
      <c r="AX41" s="42"/>
      <c r="AY41" s="42"/>
      <c r="AZ41" s="42"/>
      <c r="BA41" s="41"/>
      <c r="BF41" s="41"/>
      <c r="BG41" s="41"/>
      <c r="BH41" s="41"/>
      <c r="BI41" s="44"/>
      <c r="BJ41" s="41"/>
      <c r="BK41" s="44"/>
      <c r="BL41" s="41"/>
      <c r="BO41" s="41"/>
      <c r="BP41" s="49"/>
      <c r="BQ41" s="41"/>
      <c r="BR41" s="41"/>
      <c r="BS41" s="41"/>
      <c r="BT41" s="50"/>
      <c r="BU41" s="51"/>
    </row>
    <row r="42" spans="1:73" s="40" customFormat="1" x14ac:dyDescent="0.3">
      <c r="A42" s="37"/>
      <c r="B42" s="38"/>
      <c r="C42" s="38" t="s">
        <v>150</v>
      </c>
      <c r="D42" s="38" t="s">
        <v>65</v>
      </c>
      <c r="E42" s="38" t="s">
        <v>151</v>
      </c>
      <c r="F42" s="38" t="str">
        <f>E42</f>
        <v>3/8" thick, on walls, standard</v>
      </c>
      <c r="G42" s="45" t="s">
        <v>152</v>
      </c>
      <c r="H42" s="38">
        <v>150</v>
      </c>
      <c r="I42" s="38">
        <v>0.31</v>
      </c>
      <c r="J42" s="38">
        <v>0.32</v>
      </c>
      <c r="K42" s="38"/>
      <c r="L42" s="38">
        <f>SUM(I42:K42)</f>
        <v>0.63</v>
      </c>
      <c r="M42" s="38">
        <v>0.87</v>
      </c>
      <c r="N42" s="38" t="s">
        <v>100</v>
      </c>
      <c r="O42" s="38"/>
      <c r="P42" s="38">
        <f>(F3^0.5*F3^0.5)*2</f>
        <v>1200</v>
      </c>
      <c r="Q42" s="38">
        <f>P42*M42</f>
        <v>1044</v>
      </c>
      <c r="R42" s="38">
        <f>P42*L42</f>
        <v>756</v>
      </c>
      <c r="Z42" s="41"/>
      <c r="AA42" s="41"/>
      <c r="AB42" s="41"/>
      <c r="AC42" s="41"/>
      <c r="AD42" s="41"/>
      <c r="AE42" s="41"/>
      <c r="AF42" s="41"/>
      <c r="AG42" s="38"/>
      <c r="AH42" s="38"/>
      <c r="AI42" s="80"/>
      <c r="AJ42" s="80"/>
      <c r="AK42" s="80">
        <v>2</v>
      </c>
      <c r="AL42" s="80">
        <v>0.94</v>
      </c>
      <c r="AM42" s="80">
        <v>31</v>
      </c>
      <c r="AN42" s="83">
        <f t="shared" si="4"/>
        <v>0.94</v>
      </c>
      <c r="AO42" s="38"/>
      <c r="AP42" s="38"/>
      <c r="AQ42" s="38"/>
      <c r="AR42" s="38"/>
      <c r="AS42" s="80"/>
      <c r="AT42" s="80"/>
      <c r="AU42" s="80">
        <v>34</v>
      </c>
      <c r="AV42" s="81">
        <f>(AV$43-AV$38)/5+AV41</f>
        <v>1.484</v>
      </c>
      <c r="AW42" s="80"/>
      <c r="AX42" s="42"/>
      <c r="AY42" s="42"/>
      <c r="AZ42" s="42"/>
      <c r="BA42" s="41"/>
      <c r="BF42" s="41"/>
      <c r="BG42" s="41"/>
      <c r="BH42" s="41"/>
      <c r="BI42" s="44"/>
      <c r="BJ42" s="41"/>
      <c r="BK42" s="44"/>
      <c r="BL42" s="41"/>
      <c r="BO42" s="41"/>
      <c r="BP42" s="49"/>
      <c r="BQ42" s="41"/>
      <c r="BR42" s="41"/>
      <c r="BS42" s="41"/>
      <c r="BT42" s="50"/>
      <c r="BU42" s="51"/>
    </row>
    <row r="43" spans="1:73" s="32" customFormat="1" x14ac:dyDescent="0.3">
      <c r="A43" s="37"/>
      <c r="B43" s="38"/>
      <c r="C43" s="38" t="s">
        <v>99</v>
      </c>
      <c r="D43" s="38" t="s">
        <v>65</v>
      </c>
      <c r="E43" s="38" t="s">
        <v>95</v>
      </c>
      <c r="F43" s="38" t="str">
        <f>E43</f>
        <v>Corrugated. 0.019" thick painted, steel</v>
      </c>
      <c r="G43" s="45" t="s">
        <v>96</v>
      </c>
      <c r="H43" s="38">
        <v>12</v>
      </c>
      <c r="I43" s="38">
        <v>1.45</v>
      </c>
      <c r="J43" s="38">
        <v>1.63</v>
      </c>
      <c r="K43" s="38"/>
      <c r="L43" s="38">
        <f>SUM(I43:K43)</f>
        <v>3.08</v>
      </c>
      <c r="M43" s="38">
        <v>4.2300000000000004</v>
      </c>
      <c r="N43" s="38" t="s">
        <v>153</v>
      </c>
      <c r="O43" s="38" t="s">
        <v>154</v>
      </c>
      <c r="P43" s="38">
        <f>(F3^0.5*F3^0.5)*5*2</f>
        <v>6000</v>
      </c>
      <c r="Q43" s="38">
        <f t="shared" si="10"/>
        <v>25380.000000000004</v>
      </c>
      <c r="R43" s="38">
        <f t="shared" si="11"/>
        <v>18480</v>
      </c>
      <c r="Z43" s="33"/>
      <c r="AA43" s="33"/>
      <c r="AB43" s="33"/>
      <c r="AC43" s="33"/>
      <c r="AD43" s="33"/>
      <c r="AE43" s="33"/>
      <c r="AF43" s="33"/>
      <c r="AG43" s="38"/>
      <c r="AH43" s="38"/>
      <c r="AI43" s="80"/>
      <c r="AJ43" s="80"/>
      <c r="AK43" s="80">
        <v>2.0499999999999998</v>
      </c>
      <c r="AL43" s="81">
        <f t="shared" ref="AL43:AL51" si="12">AL42-(AL$42-AL$52)/10</f>
        <v>0.9385</v>
      </c>
      <c r="AM43" s="80">
        <v>32</v>
      </c>
      <c r="AN43" s="83">
        <f t="shared" si="4"/>
        <v>0.9385</v>
      </c>
      <c r="AO43" s="38"/>
      <c r="AP43" s="38"/>
      <c r="AQ43" s="38"/>
      <c r="AR43" s="38"/>
      <c r="AS43" s="80"/>
      <c r="AT43" s="80"/>
      <c r="AU43" s="80">
        <v>35</v>
      </c>
      <c r="AV43" s="81">
        <v>1.51</v>
      </c>
      <c r="AW43" s="80"/>
      <c r="AX43" s="34"/>
      <c r="AY43" s="34"/>
      <c r="AZ43" s="34"/>
      <c r="BA43" s="33"/>
      <c r="BF43" s="33"/>
      <c r="BG43" s="33"/>
      <c r="BH43" s="33"/>
      <c r="BI43" s="47"/>
      <c r="BJ43" s="33"/>
      <c r="BK43" s="47"/>
      <c r="BL43" s="33"/>
      <c r="BO43" s="33"/>
      <c r="BP43" s="52"/>
      <c r="BQ43" s="33"/>
      <c r="BR43" s="33"/>
      <c r="BS43" s="33"/>
      <c r="BT43" s="53"/>
      <c r="BU43" s="54"/>
    </row>
    <row r="44" spans="1:73" s="40" customFormat="1" x14ac:dyDescent="0.3">
      <c r="A44" s="37"/>
      <c r="B44" s="38"/>
      <c r="C44" s="38" t="s">
        <v>155</v>
      </c>
      <c r="D44" s="38" t="s">
        <v>52</v>
      </c>
      <c r="E44" s="38" t="s">
        <v>156</v>
      </c>
      <c r="F44" s="38" t="s">
        <v>157</v>
      </c>
      <c r="G44" s="38" t="s">
        <v>158</v>
      </c>
      <c r="H44" s="38">
        <v>100</v>
      </c>
      <c r="I44" s="38">
        <v>276</v>
      </c>
      <c r="J44" s="38">
        <v>32</v>
      </c>
      <c r="K44" s="38">
        <v>0</v>
      </c>
      <c r="L44" s="38">
        <v>308</v>
      </c>
      <c r="M44" s="38">
        <v>354.5</v>
      </c>
      <c r="N44" s="38" t="s">
        <v>159</v>
      </c>
      <c r="O44" s="38"/>
      <c r="P44" s="38">
        <v>1</v>
      </c>
      <c r="Q44" s="38">
        <f t="shared" si="10"/>
        <v>354.5</v>
      </c>
      <c r="R44" s="38">
        <f t="shared" si="11"/>
        <v>308</v>
      </c>
      <c r="Z44" s="41"/>
      <c r="AA44" s="41"/>
      <c r="AB44" s="41"/>
      <c r="AC44" s="41"/>
      <c r="AD44" s="41"/>
      <c r="AE44" s="41"/>
      <c r="AF44" s="41"/>
      <c r="AG44" s="38"/>
      <c r="AH44" s="38"/>
      <c r="AI44" s="80"/>
      <c r="AJ44" s="80"/>
      <c r="AK44" s="80">
        <v>2.1</v>
      </c>
      <c r="AL44" s="81">
        <f t="shared" si="12"/>
        <v>0.93700000000000006</v>
      </c>
      <c r="AM44" s="80">
        <v>33</v>
      </c>
      <c r="AN44" s="83">
        <f t="shared" si="4"/>
        <v>0.93700000000000006</v>
      </c>
      <c r="AO44" s="38"/>
      <c r="AP44" s="38"/>
      <c r="AQ44" s="38"/>
      <c r="AR44" s="38"/>
      <c r="AS44" s="80"/>
      <c r="AT44" s="80"/>
      <c r="AU44" s="80">
        <v>36</v>
      </c>
      <c r="AV44" s="81">
        <f>(AV$48-AV$43)/5+AV43</f>
        <v>1.538</v>
      </c>
      <c r="AW44" s="80"/>
      <c r="AX44" s="42"/>
      <c r="AY44" s="42"/>
      <c r="AZ44" s="42"/>
      <c r="BA44" s="41"/>
      <c r="BF44" s="41"/>
      <c r="BG44" s="41"/>
      <c r="BH44" s="41"/>
      <c r="BI44" s="44"/>
      <c r="BJ44" s="41"/>
      <c r="BK44" s="44"/>
      <c r="BL44" s="41"/>
      <c r="BO44" s="41"/>
      <c r="BP44" s="49"/>
      <c r="BQ44" s="49"/>
      <c r="BR44" s="49"/>
      <c r="BS44" s="49"/>
      <c r="BT44" s="50"/>
      <c r="BU44" s="51"/>
    </row>
    <row r="45" spans="1:73" s="40" customFormat="1" x14ac:dyDescent="0.3">
      <c r="A45" s="37"/>
      <c r="B45" s="38"/>
      <c r="C45" s="38" t="s">
        <v>160</v>
      </c>
      <c r="D45" s="38" t="s">
        <v>52</v>
      </c>
      <c r="E45" s="38" t="s">
        <v>161</v>
      </c>
      <c r="F45" s="38" t="s">
        <v>162</v>
      </c>
      <c r="G45" s="38" t="s">
        <v>163</v>
      </c>
      <c r="H45" s="38">
        <v>25</v>
      </c>
      <c r="I45" s="38">
        <v>123</v>
      </c>
      <c r="J45" s="38">
        <v>40</v>
      </c>
      <c r="K45" s="38">
        <v>0</v>
      </c>
      <c r="L45" s="38">
        <v>163</v>
      </c>
      <c r="M45" s="38">
        <v>198</v>
      </c>
      <c r="N45" s="38" t="s">
        <v>159</v>
      </c>
      <c r="O45" s="38"/>
      <c r="P45" s="38">
        <v>1</v>
      </c>
      <c r="Q45" s="38">
        <f t="shared" si="10"/>
        <v>198</v>
      </c>
      <c r="R45" s="38">
        <f t="shared" si="11"/>
        <v>163</v>
      </c>
      <c r="Z45" s="41"/>
      <c r="AA45" s="41"/>
      <c r="AB45" s="41"/>
      <c r="AC45" s="41"/>
      <c r="AD45" s="41"/>
      <c r="AE45" s="41"/>
      <c r="AF45" s="41"/>
      <c r="AG45" s="38"/>
      <c r="AH45" s="38"/>
      <c r="AI45" s="80"/>
      <c r="AJ45" s="80"/>
      <c r="AK45" s="80">
        <v>2.15</v>
      </c>
      <c r="AL45" s="81">
        <f t="shared" si="12"/>
        <v>0.93550000000000011</v>
      </c>
      <c r="AM45" s="80">
        <v>34</v>
      </c>
      <c r="AN45" s="83">
        <f t="shared" si="4"/>
        <v>0.93550000000000011</v>
      </c>
      <c r="AO45" s="38"/>
      <c r="AP45" s="38"/>
      <c r="AQ45" s="38"/>
      <c r="AR45" s="38"/>
      <c r="AS45" s="80"/>
      <c r="AT45" s="80"/>
      <c r="AU45" s="80">
        <v>37</v>
      </c>
      <c r="AV45" s="81">
        <f>(AV$48-AV$43)/5+AV44</f>
        <v>1.5660000000000001</v>
      </c>
      <c r="AW45" s="80"/>
      <c r="AX45" s="42"/>
      <c r="AY45" s="42"/>
      <c r="AZ45" s="42"/>
      <c r="BA45" s="41"/>
      <c r="BF45" s="41"/>
      <c r="BG45" s="41"/>
      <c r="BH45" s="41"/>
      <c r="BI45" s="44"/>
      <c r="BJ45" s="41"/>
      <c r="BK45" s="44"/>
      <c r="BL45" s="41"/>
      <c r="BO45" s="41"/>
      <c r="BP45" s="49"/>
      <c r="BQ45" s="49"/>
      <c r="BR45" s="49"/>
      <c r="BS45" s="49"/>
      <c r="BT45" s="50"/>
      <c r="BU45" s="51"/>
    </row>
    <row r="46" spans="1:73" s="40" customFormat="1" x14ac:dyDescent="0.3">
      <c r="A46" s="37"/>
      <c r="B46" s="38"/>
      <c r="C46" s="38" t="s">
        <v>164</v>
      </c>
      <c r="D46" s="38" t="s">
        <v>52</v>
      </c>
      <c r="E46" s="38" t="s">
        <v>165</v>
      </c>
      <c r="F46" s="38" t="s">
        <v>166</v>
      </c>
      <c r="G46" s="38" t="s">
        <v>167</v>
      </c>
      <c r="H46" s="38">
        <v>30</v>
      </c>
      <c r="I46" s="38">
        <v>277</v>
      </c>
      <c r="J46" s="38">
        <v>37.5</v>
      </c>
      <c r="K46" s="38">
        <v>0</v>
      </c>
      <c r="L46" s="38">
        <v>314.5</v>
      </c>
      <c r="M46" s="38">
        <v>363.5</v>
      </c>
      <c r="N46" s="38" t="s">
        <v>159</v>
      </c>
      <c r="O46" s="38"/>
      <c r="P46" s="38">
        <v>1</v>
      </c>
      <c r="Q46" s="38">
        <f t="shared" si="10"/>
        <v>363.5</v>
      </c>
      <c r="R46" s="38">
        <f t="shared" si="11"/>
        <v>314.5</v>
      </c>
      <c r="AG46" s="38"/>
      <c r="AH46" s="38"/>
      <c r="AI46" s="80"/>
      <c r="AJ46" s="80"/>
      <c r="AK46" s="80">
        <v>2.2000000000000002</v>
      </c>
      <c r="AL46" s="81">
        <f t="shared" si="12"/>
        <v>0.93400000000000016</v>
      </c>
      <c r="AM46" s="80">
        <v>35</v>
      </c>
      <c r="AN46" s="83">
        <f t="shared" si="4"/>
        <v>0.93400000000000016</v>
      </c>
      <c r="AO46" s="38"/>
      <c r="AP46" s="38"/>
      <c r="AQ46" s="38"/>
      <c r="AR46" s="38"/>
      <c r="AS46" s="80"/>
      <c r="AT46" s="80"/>
      <c r="AU46" s="80">
        <v>38</v>
      </c>
      <c r="AV46" s="81">
        <f>(AV$48-AV$43)/5+AV45</f>
        <v>1.5940000000000001</v>
      </c>
      <c r="AW46" s="80"/>
      <c r="AX46" s="42"/>
      <c r="AY46" s="42"/>
      <c r="AZ46" s="42"/>
      <c r="BA46" s="41"/>
      <c r="BF46" s="41"/>
      <c r="BG46" s="41"/>
      <c r="BH46" s="41"/>
      <c r="BI46" s="44"/>
      <c r="BJ46" s="41"/>
      <c r="BK46" s="44"/>
      <c r="BL46" s="41"/>
      <c r="BO46" s="41"/>
      <c r="BP46" s="49"/>
      <c r="BQ46" s="49"/>
      <c r="BR46" s="49"/>
      <c r="BS46" s="49"/>
      <c r="BT46" s="50"/>
      <c r="BU46" s="51"/>
    </row>
    <row r="47" spans="1:73" s="40" customFormat="1" x14ac:dyDescent="0.3">
      <c r="A47" s="55" t="s">
        <v>168</v>
      </c>
      <c r="B47" s="56" t="s">
        <v>169</v>
      </c>
      <c r="C47" s="56" t="s">
        <v>170</v>
      </c>
      <c r="D47" s="56" t="s">
        <v>65</v>
      </c>
      <c r="E47" s="56" t="s">
        <v>171</v>
      </c>
      <c r="F47" s="56">
        <v>5017</v>
      </c>
      <c r="G47" s="56">
        <v>97</v>
      </c>
      <c r="H47" s="56">
        <v>1800</v>
      </c>
      <c r="I47" s="57">
        <v>1.8200000000000001E-2</v>
      </c>
      <c r="J47" s="56"/>
      <c r="K47" s="56"/>
      <c r="L47" s="57">
        <f>SUM(I47:K47)</f>
        <v>1.8200000000000001E-2</v>
      </c>
      <c r="M47" s="57">
        <f t="shared" ref="M47:M54" si="13">L47*1.1</f>
        <v>2.0020000000000003E-2</v>
      </c>
      <c r="N47" s="56" t="s">
        <v>172</v>
      </c>
      <c r="O47" s="56"/>
      <c r="P47" s="56">
        <v>1</v>
      </c>
      <c r="Q47" s="57">
        <f>P47*M47</f>
        <v>2.0020000000000003E-2</v>
      </c>
      <c r="R47" s="57">
        <f t="shared" si="11"/>
        <v>1.8200000000000001E-2</v>
      </c>
      <c r="AG47" s="60"/>
      <c r="AH47" s="60"/>
      <c r="AI47" s="61"/>
      <c r="AJ47" s="61"/>
      <c r="AK47" s="61">
        <v>2.25</v>
      </c>
      <c r="AL47" s="85">
        <f t="shared" si="12"/>
        <v>0.93250000000000022</v>
      </c>
      <c r="AM47" s="61">
        <v>36</v>
      </c>
      <c r="AN47" s="62">
        <f t="shared" si="4"/>
        <v>0.93250000000000022</v>
      </c>
      <c r="AO47" s="60"/>
      <c r="AP47" s="60"/>
      <c r="AQ47" s="60"/>
      <c r="AR47" s="60"/>
      <c r="AS47" s="61"/>
      <c r="AT47" s="61"/>
      <c r="AU47">
        <v>39</v>
      </c>
      <c r="AV47" s="12">
        <f>(AV$48-AV$43)/5+AV46</f>
        <v>1.6220000000000001</v>
      </c>
      <c r="AW47" s="61"/>
      <c r="AX47" s="42"/>
      <c r="AY47" s="42"/>
      <c r="AZ47" s="42"/>
      <c r="BA47" s="41"/>
      <c r="BF47" s="41"/>
      <c r="BG47" s="41"/>
      <c r="BH47" s="41"/>
      <c r="BI47" s="44"/>
      <c r="BJ47" s="41"/>
      <c r="BK47" s="44"/>
      <c r="BL47" s="41"/>
      <c r="BO47" s="41"/>
      <c r="BP47" s="49"/>
      <c r="BQ47" s="49"/>
      <c r="BR47" s="49"/>
      <c r="BS47" s="49"/>
      <c r="BT47" s="50"/>
      <c r="BU47" s="51"/>
    </row>
    <row r="48" spans="1:73" s="40" customFormat="1" x14ac:dyDescent="0.3">
      <c r="A48" s="55"/>
      <c r="B48" s="56"/>
      <c r="C48" s="56"/>
      <c r="D48" s="56" t="s">
        <v>65</v>
      </c>
      <c r="E48" s="56" t="s">
        <v>173</v>
      </c>
      <c r="F48" s="56">
        <v>5017</v>
      </c>
      <c r="G48" s="56">
        <v>97</v>
      </c>
      <c r="H48" s="56">
        <v>2720</v>
      </c>
      <c r="I48" s="57">
        <v>4.8000000000000001E-2</v>
      </c>
      <c r="J48" s="56"/>
      <c r="K48" s="56"/>
      <c r="L48" s="57">
        <f t="shared" ref="L48:L54" si="14">SUM(I48:K48)</f>
        <v>4.8000000000000001E-2</v>
      </c>
      <c r="M48" s="57">
        <f t="shared" si="13"/>
        <v>5.2800000000000007E-2</v>
      </c>
      <c r="N48" s="56" t="s">
        <v>172</v>
      </c>
      <c r="O48" s="56"/>
      <c r="P48" s="56">
        <v>1</v>
      </c>
      <c r="Q48" s="57">
        <f>P48*M48</f>
        <v>5.2800000000000007E-2</v>
      </c>
      <c r="R48" s="57">
        <f t="shared" si="11"/>
        <v>4.8000000000000001E-2</v>
      </c>
      <c r="AG48" s="60"/>
      <c r="AH48" s="60"/>
      <c r="AI48" s="61"/>
      <c r="AJ48" s="61"/>
      <c r="AK48" s="61">
        <v>2.2999999999999998</v>
      </c>
      <c r="AL48" s="85">
        <f t="shared" si="12"/>
        <v>0.93100000000000027</v>
      </c>
      <c r="AM48" s="61">
        <v>37</v>
      </c>
      <c r="AN48" s="62">
        <f t="shared" si="4"/>
        <v>0.93100000000000027</v>
      </c>
      <c r="AO48" s="60"/>
      <c r="AP48" s="60"/>
      <c r="AQ48" s="60"/>
      <c r="AR48" s="60"/>
      <c r="AS48" s="61"/>
      <c r="AT48" s="61"/>
      <c r="AU48">
        <v>40</v>
      </c>
      <c r="AV48" s="85">
        <v>1.65</v>
      </c>
      <c r="AW48" s="61"/>
      <c r="AX48" s="42"/>
      <c r="AY48" s="42"/>
      <c r="AZ48" s="42"/>
      <c r="BA48" s="41"/>
      <c r="BF48" s="41"/>
      <c r="BG48" s="41"/>
      <c r="BH48" s="41"/>
      <c r="BI48" s="44"/>
      <c r="BJ48" s="41"/>
      <c r="BK48" s="44"/>
      <c r="BL48" s="41"/>
      <c r="BO48" s="41"/>
      <c r="BP48" s="41"/>
      <c r="BQ48" s="41"/>
      <c r="BR48" s="41"/>
      <c r="BS48" s="41"/>
      <c r="BT48" s="50"/>
      <c r="BU48" s="51"/>
    </row>
    <row r="49" spans="1:73" s="40" customFormat="1" x14ac:dyDescent="0.3">
      <c r="A49" s="55"/>
      <c r="B49" s="56"/>
      <c r="C49" s="56"/>
      <c r="D49" s="56" t="s">
        <v>65</v>
      </c>
      <c r="E49" s="56" t="s">
        <v>174</v>
      </c>
      <c r="F49" s="56">
        <v>5017</v>
      </c>
      <c r="G49" s="56">
        <v>97</v>
      </c>
      <c r="H49" s="56">
        <v>2730</v>
      </c>
      <c r="I49" s="57">
        <v>0.05</v>
      </c>
      <c r="J49" s="56"/>
      <c r="K49" s="56"/>
      <c r="L49" s="57">
        <f t="shared" si="14"/>
        <v>0.05</v>
      </c>
      <c r="M49" s="57">
        <f t="shared" si="13"/>
        <v>5.5000000000000007E-2</v>
      </c>
      <c r="N49" s="56" t="s">
        <v>172</v>
      </c>
      <c r="O49" s="56"/>
      <c r="P49" s="56">
        <v>1</v>
      </c>
      <c r="Q49" s="57">
        <f t="shared" si="10"/>
        <v>5.5000000000000007E-2</v>
      </c>
      <c r="R49" s="57">
        <f t="shared" si="11"/>
        <v>0.05</v>
      </c>
      <c r="AG49" s="60"/>
      <c r="AH49" s="60"/>
      <c r="AI49" s="61"/>
      <c r="AJ49" s="61"/>
      <c r="AK49" s="61">
        <v>2.35</v>
      </c>
      <c r="AL49" s="85">
        <f t="shared" si="12"/>
        <v>0.92950000000000033</v>
      </c>
      <c r="AM49" s="61">
        <v>38</v>
      </c>
      <c r="AN49" s="62">
        <f t="shared" si="4"/>
        <v>0.92950000000000033</v>
      </c>
      <c r="AO49" s="60"/>
      <c r="AP49" s="60"/>
      <c r="AQ49" s="60"/>
      <c r="AR49" s="60"/>
      <c r="AS49" s="61"/>
      <c r="AT49" s="61"/>
      <c r="AU49">
        <v>41</v>
      </c>
      <c r="AV49" s="12">
        <f>(AV$53-AV$48)/5+AV48</f>
        <v>1.6759999999999999</v>
      </c>
      <c r="AW49" s="61"/>
      <c r="AX49" s="42"/>
      <c r="AY49" s="42"/>
      <c r="AZ49" s="42"/>
      <c r="BA49" s="41"/>
      <c r="BF49" s="41"/>
      <c r="BG49" s="41"/>
      <c r="BH49" s="41"/>
      <c r="BI49" s="41"/>
      <c r="BJ49" s="41"/>
      <c r="BK49" s="44"/>
      <c r="BL49" s="41"/>
      <c r="BO49" s="41"/>
      <c r="BP49" s="41"/>
      <c r="BQ49" s="41"/>
      <c r="BR49" s="41"/>
      <c r="BS49" s="41"/>
      <c r="BT49" s="50"/>
      <c r="BU49" s="51"/>
    </row>
    <row r="50" spans="1:73" s="40" customFormat="1" x14ac:dyDescent="0.3">
      <c r="A50" s="55"/>
      <c r="B50" s="56"/>
      <c r="C50" s="56"/>
      <c r="D50" s="56" t="s">
        <v>65</v>
      </c>
      <c r="E50" s="56" t="s">
        <v>175</v>
      </c>
      <c r="F50" s="56">
        <v>5017</v>
      </c>
      <c r="G50" s="56">
        <v>97</v>
      </c>
      <c r="H50" s="56">
        <v>2900</v>
      </c>
      <c r="I50" s="57">
        <v>7.1999999999999995E-2</v>
      </c>
      <c r="J50" s="56"/>
      <c r="K50" s="56"/>
      <c r="L50" s="57">
        <f t="shared" si="14"/>
        <v>7.1999999999999995E-2</v>
      </c>
      <c r="M50" s="57">
        <f t="shared" si="13"/>
        <v>7.9200000000000007E-2</v>
      </c>
      <c r="N50" s="56" t="s">
        <v>172</v>
      </c>
      <c r="O50" s="56"/>
      <c r="P50" s="56">
        <v>1</v>
      </c>
      <c r="Q50" s="57">
        <f t="shared" si="10"/>
        <v>7.9200000000000007E-2</v>
      </c>
      <c r="R50" s="57">
        <f t="shared" si="11"/>
        <v>7.1999999999999995E-2</v>
      </c>
      <c r="AG50" s="60"/>
      <c r="AH50" s="60"/>
      <c r="AI50" s="61"/>
      <c r="AJ50" s="61"/>
      <c r="AK50" s="61">
        <v>2.4</v>
      </c>
      <c r="AL50" s="85">
        <f t="shared" si="12"/>
        <v>0.92800000000000038</v>
      </c>
      <c r="AM50" s="61">
        <v>39</v>
      </c>
      <c r="AN50" s="62">
        <f t="shared" si="4"/>
        <v>0.92800000000000038</v>
      </c>
      <c r="AO50" s="60"/>
      <c r="AP50" s="60"/>
      <c r="AQ50" s="60"/>
      <c r="AR50" s="60"/>
      <c r="AS50" s="61"/>
      <c r="AT50" s="61"/>
      <c r="AU50">
        <v>42</v>
      </c>
      <c r="AV50" s="12">
        <f>(AV$53-AV$48)/5+AV49</f>
        <v>1.702</v>
      </c>
      <c r="AW50" s="61"/>
      <c r="AX50" s="42"/>
      <c r="AY50" s="42"/>
      <c r="AZ50" s="42"/>
      <c r="BA50" s="41"/>
      <c r="BF50" s="41"/>
      <c r="BG50" s="41"/>
      <c r="BH50" s="41"/>
      <c r="BI50" s="41"/>
      <c r="BJ50" s="41"/>
      <c r="BK50" s="44"/>
      <c r="BL50" s="41"/>
      <c r="BO50" s="41"/>
      <c r="BP50" s="41"/>
      <c r="BQ50" s="41"/>
      <c r="BR50" s="41"/>
      <c r="BS50" s="41"/>
      <c r="BT50" s="50"/>
      <c r="BU50" s="51"/>
    </row>
    <row r="51" spans="1:73" s="40" customFormat="1" x14ac:dyDescent="0.3">
      <c r="A51" s="55"/>
      <c r="B51" s="56" t="s">
        <v>176</v>
      </c>
      <c r="C51" s="56" t="s">
        <v>170</v>
      </c>
      <c r="D51" s="56" t="s">
        <v>65</v>
      </c>
      <c r="E51" s="56" t="s">
        <v>171</v>
      </c>
      <c r="F51" s="56">
        <v>5017</v>
      </c>
      <c r="G51" s="56">
        <v>99</v>
      </c>
      <c r="H51" s="56">
        <v>1800</v>
      </c>
      <c r="I51" s="57">
        <v>1.21E-2</v>
      </c>
      <c r="J51" s="56"/>
      <c r="K51" s="56"/>
      <c r="L51" s="57">
        <f t="shared" si="14"/>
        <v>1.21E-2</v>
      </c>
      <c r="M51" s="57">
        <f t="shared" si="13"/>
        <v>1.3310000000000001E-2</v>
      </c>
      <c r="N51" s="56" t="s">
        <v>172</v>
      </c>
      <c r="O51" s="56"/>
      <c r="P51" s="56">
        <v>1</v>
      </c>
      <c r="Q51" s="57">
        <f t="shared" si="10"/>
        <v>1.3310000000000001E-2</v>
      </c>
      <c r="R51" s="57">
        <f t="shared" si="11"/>
        <v>1.21E-2</v>
      </c>
      <c r="AG51" s="60"/>
      <c r="AH51" s="60"/>
      <c r="AI51" s="61"/>
      <c r="AJ51" s="61"/>
      <c r="AK51" s="61">
        <v>2.4500000000000002</v>
      </c>
      <c r="AL51" s="85">
        <f t="shared" si="12"/>
        <v>0.92650000000000043</v>
      </c>
      <c r="AM51" s="61">
        <v>40</v>
      </c>
      <c r="AN51" s="62">
        <f t="shared" si="4"/>
        <v>0.92650000000000043</v>
      </c>
      <c r="AO51" s="60"/>
      <c r="AP51" s="60"/>
      <c r="AQ51" s="60"/>
      <c r="AR51" s="60"/>
      <c r="AS51" s="61"/>
      <c r="AT51" s="61"/>
      <c r="AU51">
        <v>43</v>
      </c>
      <c r="AV51" s="12">
        <f>(AV$53-AV$48)/5+AV50</f>
        <v>1.728</v>
      </c>
      <c r="AW51" s="61"/>
      <c r="AX51" s="42"/>
      <c r="AY51" s="42"/>
      <c r="AZ51" s="42"/>
      <c r="BA51" s="41"/>
      <c r="BF51" s="41"/>
      <c r="BG51" s="41"/>
      <c r="BH51" s="41"/>
      <c r="BI51" s="41"/>
      <c r="BJ51" s="41"/>
      <c r="BK51" s="44"/>
      <c r="BL51" s="41"/>
      <c r="BO51" s="41"/>
      <c r="BP51" s="41"/>
      <c r="BQ51" s="41"/>
      <c r="BR51" s="41"/>
      <c r="BS51" s="41"/>
      <c r="BT51" s="50"/>
      <c r="BU51" s="51"/>
    </row>
    <row r="52" spans="1:73" s="40" customFormat="1" x14ac:dyDescent="0.3">
      <c r="A52" s="55"/>
      <c r="B52" s="56"/>
      <c r="C52" s="56"/>
      <c r="D52" s="56" t="s">
        <v>65</v>
      </c>
      <c r="E52" s="56" t="s">
        <v>173</v>
      </c>
      <c r="F52" s="56">
        <v>5017</v>
      </c>
      <c r="G52" s="56">
        <v>99</v>
      </c>
      <c r="H52" s="56">
        <v>2720</v>
      </c>
      <c r="I52" s="57">
        <v>4.7600000000000003E-2</v>
      </c>
      <c r="J52" s="56"/>
      <c r="K52" s="56"/>
      <c r="L52" s="57">
        <f t="shared" si="14"/>
        <v>4.7600000000000003E-2</v>
      </c>
      <c r="M52" s="57">
        <f t="shared" si="13"/>
        <v>5.2360000000000011E-2</v>
      </c>
      <c r="N52" s="56" t="s">
        <v>172</v>
      </c>
      <c r="O52" s="56"/>
      <c r="P52" s="56">
        <v>1</v>
      </c>
      <c r="Q52" s="57">
        <f t="shared" si="10"/>
        <v>5.2360000000000011E-2</v>
      </c>
      <c r="R52" s="57">
        <f t="shared" si="11"/>
        <v>4.7600000000000003E-2</v>
      </c>
      <c r="AG52" s="60"/>
      <c r="AH52" s="60"/>
      <c r="AI52" s="61"/>
      <c r="AJ52" s="61"/>
      <c r="AK52" s="61">
        <v>2.5</v>
      </c>
      <c r="AL52" s="61">
        <v>0.92500000000000004</v>
      </c>
      <c r="AM52" s="61">
        <v>41</v>
      </c>
      <c r="AN52" s="62">
        <f t="shared" si="4"/>
        <v>0.92500000000000004</v>
      </c>
      <c r="AO52" s="60"/>
      <c r="AP52" s="60"/>
      <c r="AQ52" s="60"/>
      <c r="AR52" s="60"/>
      <c r="AS52" s="61"/>
      <c r="AT52" s="61"/>
      <c r="AU52">
        <v>44</v>
      </c>
      <c r="AV52" s="12">
        <f>(AV$53-AV$48)/5+AV51</f>
        <v>1.754</v>
      </c>
      <c r="AW52" s="61"/>
      <c r="AX52" s="42"/>
      <c r="AY52" s="42"/>
      <c r="AZ52" s="42"/>
      <c r="BA52" s="41"/>
      <c r="BF52" s="41"/>
      <c r="BG52" s="41"/>
      <c r="BH52" s="41"/>
      <c r="BI52" s="41"/>
      <c r="BJ52" s="41"/>
      <c r="BK52" s="44"/>
      <c r="BL52" s="41"/>
      <c r="BO52" s="41"/>
      <c r="BP52" s="41"/>
      <c r="BQ52" s="41"/>
      <c r="BR52" s="41"/>
      <c r="BS52" s="41"/>
      <c r="BT52" s="50"/>
      <c r="BU52" s="51"/>
    </row>
    <row r="53" spans="1:73" s="40" customFormat="1" x14ac:dyDescent="0.3">
      <c r="A53" s="55"/>
      <c r="B53" s="56"/>
      <c r="C53" s="56"/>
      <c r="D53" s="56" t="s">
        <v>65</v>
      </c>
      <c r="E53" s="56" t="s">
        <v>174</v>
      </c>
      <c r="F53" s="56">
        <v>5017</v>
      </c>
      <c r="G53" s="56">
        <v>99</v>
      </c>
      <c r="H53" s="56">
        <v>2730</v>
      </c>
      <c r="I53" s="57">
        <v>5.6500000000000002E-2</v>
      </c>
      <c r="J53" s="56"/>
      <c r="K53" s="56"/>
      <c r="L53" s="57">
        <f t="shared" si="14"/>
        <v>5.6500000000000002E-2</v>
      </c>
      <c r="M53" s="57">
        <f t="shared" si="13"/>
        <v>6.2150000000000004E-2</v>
      </c>
      <c r="N53" s="56" t="s">
        <v>172</v>
      </c>
      <c r="O53" s="56"/>
      <c r="P53" s="56">
        <v>1</v>
      </c>
      <c r="Q53" s="57">
        <f t="shared" si="10"/>
        <v>6.2150000000000004E-2</v>
      </c>
      <c r="R53" s="57">
        <f t="shared" si="11"/>
        <v>5.6500000000000002E-2</v>
      </c>
      <c r="AG53" s="60"/>
      <c r="AH53" s="60"/>
      <c r="AI53" s="61"/>
      <c r="AJ53" s="61"/>
      <c r="AK53" s="61">
        <v>2.5499999999999998</v>
      </c>
      <c r="AL53" s="85">
        <f t="shared" ref="AL53:AL61" si="15">AL52-(AL$52-AL$62)/10</f>
        <v>0.92349999999999999</v>
      </c>
      <c r="AM53" s="61">
        <v>42</v>
      </c>
      <c r="AN53" s="62">
        <f t="shared" si="4"/>
        <v>0.92349999999999999</v>
      </c>
      <c r="AO53" s="60"/>
      <c r="AP53" s="60"/>
      <c r="AQ53" s="60"/>
      <c r="AR53" s="60"/>
      <c r="AS53" s="61"/>
      <c r="AT53" s="61"/>
      <c r="AU53">
        <v>45</v>
      </c>
      <c r="AV53" s="85">
        <v>1.78</v>
      </c>
      <c r="AW53" s="61"/>
      <c r="AX53" s="42"/>
      <c r="AY53" s="42"/>
      <c r="AZ53" s="42"/>
      <c r="BA53" s="41"/>
      <c r="BF53" s="41"/>
      <c r="BG53" s="41"/>
      <c r="BH53" s="41"/>
      <c r="BI53" s="41"/>
      <c r="BJ53" s="41"/>
      <c r="BK53" s="44"/>
      <c r="BL53" s="41"/>
      <c r="BO53" s="41"/>
      <c r="BP53" s="41"/>
      <c r="BQ53" s="41"/>
      <c r="BR53" s="41"/>
      <c r="BS53" s="41"/>
      <c r="BT53" s="50"/>
      <c r="BU53" s="51"/>
    </row>
    <row r="54" spans="1:73" s="40" customFormat="1" x14ac:dyDescent="0.3">
      <c r="A54" s="55"/>
      <c r="B54" s="56"/>
      <c r="C54" s="56"/>
      <c r="D54" s="56" t="s">
        <v>65</v>
      </c>
      <c r="E54" s="56" t="s">
        <v>175</v>
      </c>
      <c r="F54" s="56">
        <v>5017</v>
      </c>
      <c r="G54" s="56">
        <v>99</v>
      </c>
      <c r="H54" s="56">
        <v>2900</v>
      </c>
      <c r="I54" s="57">
        <v>0.08</v>
      </c>
      <c r="J54" s="56"/>
      <c r="K54" s="56"/>
      <c r="L54" s="57">
        <f t="shared" si="14"/>
        <v>0.08</v>
      </c>
      <c r="M54" s="57">
        <f t="shared" si="13"/>
        <v>8.8000000000000009E-2</v>
      </c>
      <c r="N54" s="56" t="s">
        <v>172</v>
      </c>
      <c r="O54" s="56"/>
      <c r="P54" s="56">
        <v>1</v>
      </c>
      <c r="Q54" s="57">
        <f t="shared" si="10"/>
        <v>8.8000000000000009E-2</v>
      </c>
      <c r="R54" s="57">
        <f t="shared" si="11"/>
        <v>0.08</v>
      </c>
      <c r="AG54" s="60"/>
      <c r="AH54" s="60"/>
      <c r="AI54" s="61"/>
      <c r="AJ54" s="61"/>
      <c r="AK54" s="61">
        <v>2.6</v>
      </c>
      <c r="AL54" s="85">
        <f t="shared" si="15"/>
        <v>0.92199999999999993</v>
      </c>
      <c r="AM54" s="61">
        <v>43</v>
      </c>
      <c r="AN54" s="62">
        <f t="shared" si="4"/>
        <v>0.92199999999999993</v>
      </c>
      <c r="AO54" s="60"/>
      <c r="AP54" s="60"/>
      <c r="AQ54" s="60"/>
      <c r="AR54" s="60"/>
      <c r="AS54" s="61"/>
      <c r="AT54" s="61"/>
      <c r="AU54">
        <v>46</v>
      </c>
      <c r="AV54" s="12">
        <f>(AV$58-AV$53)/5+AV53</f>
        <v>1.81</v>
      </c>
      <c r="AW54" s="61"/>
      <c r="AX54" s="42"/>
      <c r="AY54" s="42"/>
      <c r="AZ54" s="42"/>
      <c r="BA54" s="41"/>
      <c r="BF54" s="41"/>
      <c r="BG54" s="41"/>
      <c r="BH54" s="41"/>
      <c r="BI54" s="41"/>
      <c r="BJ54" s="41"/>
      <c r="BK54" s="44"/>
      <c r="BL54" s="41"/>
      <c r="BO54" s="41"/>
      <c r="BP54" s="41"/>
      <c r="BQ54" s="41"/>
      <c r="BR54" s="41"/>
      <c r="BS54" s="41"/>
      <c r="BT54" s="50"/>
      <c r="BU54" s="51"/>
    </row>
    <row r="55" spans="1:73" s="40" customFormat="1" x14ac:dyDescent="0.3">
      <c r="A55" s="59"/>
      <c r="I55" s="58"/>
      <c r="L55" s="58"/>
      <c r="M55" s="58"/>
      <c r="Q55" s="58"/>
      <c r="R55" s="58"/>
      <c r="AG55" s="60"/>
      <c r="AH55" s="60"/>
      <c r="AI55" s="61"/>
      <c r="AJ55" s="61"/>
      <c r="AK55" s="61">
        <v>2.65</v>
      </c>
      <c r="AL55" s="85">
        <f t="shared" si="15"/>
        <v>0.92049999999999987</v>
      </c>
      <c r="AM55" s="61">
        <v>44</v>
      </c>
      <c r="AN55" s="62">
        <f t="shared" si="4"/>
        <v>0.92049999999999987</v>
      </c>
      <c r="AO55" s="60"/>
      <c r="AP55" s="60"/>
      <c r="AQ55" s="60"/>
      <c r="AR55" s="60"/>
      <c r="AS55" s="61"/>
      <c r="AT55" s="61"/>
      <c r="AU55">
        <v>47</v>
      </c>
      <c r="AV55" s="12">
        <f>(AV$58-AV$53)/5+AV54</f>
        <v>1.84</v>
      </c>
      <c r="AW55" s="61"/>
      <c r="AX55" s="42"/>
      <c r="AY55" s="42"/>
      <c r="AZ55" s="42"/>
      <c r="BA55" s="41"/>
      <c r="BF55" s="41"/>
      <c r="BG55" s="41"/>
      <c r="BH55" s="41"/>
      <c r="BI55" s="41"/>
      <c r="BJ55" s="41"/>
      <c r="BK55" s="44"/>
      <c r="BL55" s="41"/>
      <c r="BO55" s="41"/>
      <c r="BP55" s="41"/>
      <c r="BQ55" s="41"/>
      <c r="BR55" s="41"/>
      <c r="BS55" s="41"/>
      <c r="BT55" s="50"/>
      <c r="BU55" s="51"/>
    </row>
    <row r="56" spans="1:73" s="40" customFormat="1" x14ac:dyDescent="0.3">
      <c r="A56" s="59"/>
      <c r="I56" s="58"/>
      <c r="L56" s="58"/>
      <c r="M56" s="58"/>
      <c r="Q56" s="58"/>
      <c r="R56" s="58"/>
      <c r="AG56" s="60"/>
      <c r="AH56" s="60"/>
      <c r="AI56" s="61"/>
      <c r="AJ56" s="61"/>
      <c r="AK56" s="61">
        <v>2.7</v>
      </c>
      <c r="AL56" s="85">
        <f t="shared" si="15"/>
        <v>0.91899999999999982</v>
      </c>
      <c r="AM56" s="61">
        <v>45</v>
      </c>
      <c r="AN56" s="62">
        <f t="shared" si="4"/>
        <v>0.91899999999999982</v>
      </c>
      <c r="AO56" s="60"/>
      <c r="AP56" s="60"/>
      <c r="AQ56" s="60"/>
      <c r="AR56" s="60"/>
      <c r="AS56" s="61"/>
      <c r="AT56" s="61"/>
      <c r="AU56">
        <v>48</v>
      </c>
      <c r="AV56" s="12">
        <f>(AV$58-AV$53)/5+AV55</f>
        <v>1.87</v>
      </c>
      <c r="AW56" s="61"/>
      <c r="AX56" s="42"/>
      <c r="AY56" s="42"/>
      <c r="AZ56" s="42"/>
      <c r="BA56" s="41"/>
      <c r="BF56" s="41"/>
      <c r="BG56" s="41"/>
      <c r="BH56" s="41"/>
      <c r="BI56" s="41"/>
      <c r="BJ56" s="41"/>
      <c r="BK56" s="44"/>
      <c r="BL56" s="41"/>
      <c r="BO56" s="41"/>
      <c r="BP56" s="41"/>
      <c r="BQ56" s="41"/>
      <c r="BR56" s="41"/>
      <c r="BS56" s="41"/>
      <c r="BT56" s="50"/>
      <c r="BU56" s="51"/>
    </row>
    <row r="57" spans="1:73" s="40" customFormat="1" x14ac:dyDescent="0.3">
      <c r="A57" s="59"/>
      <c r="I57" s="58"/>
      <c r="L57" s="58"/>
      <c r="M57" s="58"/>
      <c r="Q57" s="58"/>
      <c r="R57" s="58"/>
      <c r="AG57" s="60"/>
      <c r="AH57" s="60"/>
      <c r="AI57" s="61"/>
      <c r="AJ57" s="61"/>
      <c r="AK57" s="61">
        <v>2.75</v>
      </c>
      <c r="AL57" s="85">
        <f t="shared" si="15"/>
        <v>0.91749999999999976</v>
      </c>
      <c r="AM57" s="61">
        <v>46</v>
      </c>
      <c r="AN57" s="62">
        <f t="shared" si="4"/>
        <v>0.91749999999999976</v>
      </c>
      <c r="AO57" s="26"/>
      <c r="AP57" s="26"/>
      <c r="AQ57" s="60"/>
      <c r="AR57" s="60"/>
      <c r="AS57" s="61"/>
      <c r="AT57" s="61"/>
      <c r="AU57">
        <v>49</v>
      </c>
      <c r="AV57" s="12">
        <f>(AV$58-AV$53)/5+AV56</f>
        <v>1.9000000000000001</v>
      </c>
      <c r="AW57" s="61"/>
      <c r="AX57" s="42"/>
      <c r="AY57" s="42"/>
      <c r="AZ57" s="42"/>
      <c r="BA57" s="41"/>
      <c r="BF57" s="41"/>
      <c r="BG57" s="41"/>
      <c r="BH57" s="41"/>
      <c r="BI57" s="41"/>
      <c r="BJ57" s="41"/>
      <c r="BK57" s="44"/>
      <c r="BL57" s="41"/>
      <c r="BO57" s="41"/>
      <c r="BP57" s="41"/>
      <c r="BQ57" s="41"/>
      <c r="BR57" s="41"/>
      <c r="BS57" s="41"/>
      <c r="BT57" s="50"/>
      <c r="BU57" s="51"/>
    </row>
    <row r="58" spans="1:73" s="40" customFormat="1" x14ac:dyDescent="0.3">
      <c r="A58" s="59"/>
      <c r="AG58" s="60"/>
      <c r="AH58" s="60"/>
      <c r="AI58" s="61"/>
      <c r="AJ58" s="61"/>
      <c r="AK58" s="61">
        <v>2.8</v>
      </c>
      <c r="AL58" s="85">
        <f t="shared" si="15"/>
        <v>0.9159999999999997</v>
      </c>
      <c r="AM58" s="61">
        <v>47</v>
      </c>
      <c r="AN58" s="62">
        <f t="shared" si="4"/>
        <v>0.9159999999999997</v>
      </c>
      <c r="AO58" s="26"/>
      <c r="AP58" s="26"/>
      <c r="AQ58" s="60"/>
      <c r="AR58" s="60"/>
      <c r="AS58" s="61"/>
      <c r="AT58" s="61"/>
      <c r="AU58">
        <v>50</v>
      </c>
      <c r="AV58" s="85">
        <v>1.93</v>
      </c>
      <c r="AW58" s="61"/>
      <c r="AX58" s="42"/>
      <c r="AY58" s="42"/>
      <c r="AZ58" s="42"/>
      <c r="BA58" s="41"/>
      <c r="BF58" s="41"/>
      <c r="BG58" s="41"/>
      <c r="BH58" s="41"/>
      <c r="BI58" s="41"/>
      <c r="BJ58" s="41"/>
      <c r="BK58" s="44"/>
      <c r="BL58" s="41"/>
      <c r="BO58" s="41"/>
      <c r="BP58" s="41"/>
      <c r="BQ58" s="41"/>
      <c r="BR58" s="41"/>
      <c r="BS58" s="41"/>
      <c r="BT58" s="50"/>
      <c r="BU58" s="51"/>
    </row>
    <row r="59" spans="1:73" s="60" customFormat="1" x14ac:dyDescent="0.3">
      <c r="A59" s="26"/>
      <c r="AI59" s="61"/>
      <c r="AJ59" s="61"/>
      <c r="AK59" s="61">
        <v>2.85</v>
      </c>
      <c r="AL59" s="85">
        <f t="shared" si="15"/>
        <v>0.91449999999999965</v>
      </c>
      <c r="AM59" s="61">
        <v>48</v>
      </c>
      <c r="AN59" s="62">
        <f t="shared" si="4"/>
        <v>0.91449999999999965</v>
      </c>
      <c r="AO59" s="72"/>
      <c r="AP59" s="72"/>
      <c r="AS59" s="61"/>
      <c r="AT59" s="61"/>
      <c r="AU59">
        <v>51</v>
      </c>
      <c r="AV59" s="12">
        <f>(AV$63-AV$58)/5+AV58</f>
        <v>1.958</v>
      </c>
      <c r="AW59" s="61"/>
      <c r="AX59" s="28"/>
      <c r="AY59" s="28"/>
      <c r="AZ59" s="28"/>
      <c r="BA59" s="61"/>
      <c r="BF59" s="61"/>
      <c r="BG59" s="61"/>
      <c r="BH59" s="61"/>
      <c r="BI59" s="61"/>
      <c r="BJ59" s="61"/>
      <c r="BK59" s="62"/>
      <c r="BL59" s="61"/>
      <c r="BO59" s="61"/>
      <c r="BP59" s="61"/>
      <c r="BQ59" s="61"/>
      <c r="BR59" s="61"/>
      <c r="BS59" s="61"/>
      <c r="BT59" s="63"/>
      <c r="BU59" s="64"/>
    </row>
    <row r="60" spans="1:73" s="2" customFormat="1" x14ac:dyDescent="0.3">
      <c r="A60" s="26"/>
      <c r="B60" s="26" t="s">
        <v>177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 t="s">
        <v>177</v>
      </c>
      <c r="O60" s="26"/>
      <c r="P60" s="26"/>
      <c r="Q60" s="26"/>
      <c r="R60" s="26"/>
      <c r="S60" s="26"/>
      <c r="T60" s="26"/>
      <c r="U60" s="26"/>
      <c r="V60" s="26"/>
      <c r="Y60" s="26" t="s">
        <v>178</v>
      </c>
      <c r="Z60" s="26"/>
      <c r="AG60" s="60"/>
      <c r="AH60" s="60"/>
      <c r="AI60" s="61"/>
      <c r="AJ60" s="61"/>
      <c r="AK60" s="61">
        <v>2.9</v>
      </c>
      <c r="AL60" s="85">
        <f t="shared" si="15"/>
        <v>0.91299999999999959</v>
      </c>
      <c r="AM60" s="61">
        <v>49</v>
      </c>
      <c r="AN60" s="62">
        <f t="shared" si="4"/>
        <v>0.91299999999999959</v>
      </c>
      <c r="AO60" s="72"/>
      <c r="AP60" s="72"/>
      <c r="AQ60" s="60"/>
      <c r="AR60" s="60"/>
      <c r="AS60" s="61"/>
      <c r="AT60" s="61"/>
      <c r="AU60">
        <v>52</v>
      </c>
      <c r="AV60" s="12">
        <f>(AV$63-AV$58)/5+AV59</f>
        <v>1.986</v>
      </c>
      <c r="AW60" s="61"/>
      <c r="BF60" s="10"/>
      <c r="BG60" s="10"/>
      <c r="BH60" s="10"/>
      <c r="BI60" s="65"/>
      <c r="BJ60" s="10"/>
      <c r="BK60" s="66"/>
      <c r="BL60" s="10"/>
      <c r="BO60" s="10"/>
      <c r="BP60" s="10"/>
      <c r="BQ60" s="10"/>
      <c r="BR60" s="10"/>
      <c r="BS60" s="10"/>
      <c r="BT60" s="67"/>
      <c r="BU60" s="68"/>
    </row>
    <row r="61" spans="1:73" s="2" customFormat="1" x14ac:dyDescent="0.3">
      <c r="A61" s="26"/>
      <c r="B61" s="26" t="s">
        <v>179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 t="s">
        <v>180</v>
      </c>
      <c r="O61" s="26"/>
      <c r="P61" s="26"/>
      <c r="Q61" s="26"/>
      <c r="R61" s="26"/>
      <c r="S61" s="26"/>
      <c r="T61" s="26"/>
      <c r="U61" s="26"/>
      <c r="V61" s="26"/>
      <c r="Y61" s="26" t="s">
        <v>179</v>
      </c>
      <c r="Z61" s="26"/>
      <c r="AG61" s="60"/>
      <c r="AH61" s="60"/>
      <c r="AI61" s="61"/>
      <c r="AJ61" s="61"/>
      <c r="AK61" s="61">
        <v>2.95</v>
      </c>
      <c r="AL61" s="85">
        <f t="shared" si="15"/>
        <v>0.91149999999999953</v>
      </c>
      <c r="AM61" s="61">
        <v>50</v>
      </c>
      <c r="AN61" s="62">
        <f t="shared" si="4"/>
        <v>0.91149999999999953</v>
      </c>
      <c r="AO61" s="72"/>
      <c r="AP61" s="72"/>
      <c r="AQ61" s="60"/>
      <c r="AR61" s="60"/>
      <c r="AS61" s="61"/>
      <c r="AT61" s="61"/>
      <c r="AU61">
        <v>53</v>
      </c>
      <c r="AV61" s="12">
        <f>(AV$63-AV$58)/5+AV60</f>
        <v>2.0139999999999998</v>
      </c>
      <c r="AW61" s="61"/>
      <c r="BF61" s="10"/>
      <c r="BG61" s="10"/>
      <c r="BH61" s="10"/>
      <c r="BI61" s="65"/>
      <c r="BJ61" s="10"/>
      <c r="BK61" s="66"/>
      <c r="BL61" s="10"/>
      <c r="BO61" s="10"/>
      <c r="BP61" s="10"/>
      <c r="BQ61" s="10"/>
      <c r="BR61" s="10"/>
      <c r="BS61" s="10"/>
      <c r="BT61" s="67"/>
      <c r="BU61" s="68"/>
    </row>
    <row r="62" spans="1:73" s="72" customFormat="1" x14ac:dyDescent="0.3">
      <c r="A62" s="69"/>
      <c r="B62" s="70">
        <f>IF((TAN(P2*PI()/180)*((wide/2)-(16*1/12)))&gt;0,(TAN(P2*PI()/180)*((wide/2)-(16*1/12))),0)</f>
        <v>16.236428325406706</v>
      </c>
      <c r="C62" s="71" t="s">
        <v>181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>
        <f>IF((TAN(P3*PI()/180)*(wide/2-(16*1/12)))&gt;0,(TAN(P3*PI()/180)*(wide/2-(16*1/12))),0)</f>
        <v>16.236428325406706</v>
      </c>
      <c r="O62" s="71" t="s">
        <v>182</v>
      </c>
      <c r="P62" s="70"/>
      <c r="Q62" s="70"/>
      <c r="R62" s="70"/>
      <c r="S62" s="70"/>
      <c r="T62" s="70"/>
      <c r="U62" s="70"/>
      <c r="V62" s="70"/>
      <c r="Y62" s="72">
        <f>IF((TAN(P2*PI()/180)*((wide/2)-(24*1/12)))&gt;0,(TAN(P2*PI()/180)*((wide/2)-(24*1/12))),0)</f>
        <v>16.01401149903127</v>
      </c>
      <c r="Z62" s="73" t="s">
        <v>183</v>
      </c>
      <c r="AG62" s="60"/>
      <c r="AH62" s="60"/>
      <c r="AI62" s="61"/>
      <c r="AJ62" s="61"/>
      <c r="AK62" s="61">
        <v>3</v>
      </c>
      <c r="AL62" s="61">
        <v>0.91</v>
      </c>
      <c r="AM62" s="61">
        <v>51</v>
      </c>
      <c r="AN62" s="62">
        <f t="shared" si="4"/>
        <v>0.91</v>
      </c>
      <c r="AQ62" s="60"/>
      <c r="AR62" s="60"/>
      <c r="AS62" s="61"/>
      <c r="AT62" s="61"/>
      <c r="AU62">
        <v>54</v>
      </c>
      <c r="AV62" s="12">
        <f>(AV$63-AV$58)/5+AV61</f>
        <v>2.0419999999999998</v>
      </c>
      <c r="AW62" s="61"/>
      <c r="BF62" s="62"/>
      <c r="BG62" s="62"/>
      <c r="BH62" s="62"/>
      <c r="BI62" s="70"/>
      <c r="BJ62" s="62"/>
      <c r="BK62" s="62"/>
      <c r="BL62" s="62"/>
      <c r="BO62" s="70"/>
      <c r="BP62" s="70"/>
      <c r="BQ62" s="70"/>
      <c r="BR62" s="70"/>
      <c r="BS62" s="70"/>
      <c r="BT62" s="74"/>
      <c r="BU62" s="75"/>
    </row>
    <row r="63" spans="1:73" s="72" customFormat="1" x14ac:dyDescent="0.3">
      <c r="A63" s="69"/>
      <c r="B63" s="70">
        <f>IF((TAN(P2*PI()/180)*((wide/2)-(16*2/12)))&gt;0,(TAN(P2*PI()/180)*((wide/2)-(16*2/12))),0)</f>
        <v>15.791594672655838</v>
      </c>
      <c r="C63" s="71" t="s">
        <v>184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>
        <f>IF((TAN(P3*PI()/180)*(wide/2-(16*2/12)))&gt;0,(TAN(P3*PI()/180)*(wide/2-(16*2/12))),0)</f>
        <v>15.791594672655838</v>
      </c>
      <c r="O63" s="71" t="s">
        <v>185</v>
      </c>
      <c r="P63" s="70"/>
      <c r="Q63" s="70"/>
      <c r="R63" s="70"/>
      <c r="S63" s="70"/>
      <c r="T63" s="70"/>
      <c r="U63" s="70"/>
      <c r="V63" s="70"/>
      <c r="Y63" s="72">
        <f>IF((TAN(P2*PI()/180)*((wide/2)-(24*2/12)))&gt;0,(TAN(P2*PI()/180)*((wide/2)-(24*2/12))),0)</f>
        <v>15.346761019904969</v>
      </c>
      <c r="Z63" s="73" t="s">
        <v>186</v>
      </c>
      <c r="AG63" s="60"/>
      <c r="AH63" s="60"/>
      <c r="AI63" s="61"/>
      <c r="AJ63" s="61"/>
      <c r="AK63" s="61">
        <v>3.05</v>
      </c>
      <c r="AL63" s="61">
        <f t="shared" ref="AL63:AL71" si="16">AL62-(AL$62-AL$72)/10</f>
        <v>0.90900000000000003</v>
      </c>
      <c r="AM63" s="61">
        <v>52</v>
      </c>
      <c r="AN63" s="62">
        <f t="shared" si="4"/>
        <v>0.90900000000000003</v>
      </c>
      <c r="AQ63" s="60"/>
      <c r="AR63" s="60"/>
      <c r="AS63" s="61"/>
      <c r="AT63" s="61"/>
      <c r="AU63">
        <v>55</v>
      </c>
      <c r="AV63" s="61">
        <v>2.0699999999999998</v>
      </c>
      <c r="AW63" s="61"/>
      <c r="BF63" s="62"/>
      <c r="BG63" s="62"/>
      <c r="BH63" s="62"/>
      <c r="BI63" s="70"/>
      <c r="BJ63" s="62"/>
      <c r="BK63" s="62"/>
      <c r="BL63" s="62"/>
      <c r="BO63" s="70"/>
      <c r="BP63" s="70"/>
      <c r="BQ63" s="70"/>
      <c r="BR63" s="70"/>
      <c r="BS63" s="70"/>
      <c r="BT63" s="74"/>
      <c r="BU63" s="75"/>
    </row>
    <row r="64" spans="1:73" s="70" customFormat="1" x14ac:dyDescent="0.3">
      <c r="B64" s="70">
        <f>IF((TAN(P2*PI()/180)*((wide/2)-(16*3/12)))&gt;0,(TAN(P2*PI()/180)*((wide/2)-(16*3/12))),0)</f>
        <v>15.346761019904969</v>
      </c>
      <c r="C64" s="71" t="s">
        <v>187</v>
      </c>
      <c r="N64" s="70">
        <f>IF((TAN(P3*PI()/180)*(wide/2-(16*3/12)))&gt;0,(TAN(P3*PI()/180)*(wide/2-(16*3/12))),0)</f>
        <v>15.346761019904969</v>
      </c>
      <c r="O64" s="71" t="s">
        <v>188</v>
      </c>
      <c r="Y64" s="70">
        <f>IF((TAN(P2*PI()/180)*((wide/2)-(24*3/12)))&gt;0,(TAN(P2*PI()/180)*((wide/2)-(24*3/12))),0)</f>
        <v>14.679510540778665</v>
      </c>
      <c r="Z64" s="71" t="s">
        <v>189</v>
      </c>
      <c r="AG64" s="60"/>
      <c r="AH64" s="60"/>
      <c r="AI64" s="61"/>
      <c r="AJ64" s="61"/>
      <c r="AK64" s="61">
        <v>3.1</v>
      </c>
      <c r="AL64" s="61">
        <f t="shared" si="16"/>
        <v>0.90800000000000003</v>
      </c>
      <c r="AM64" s="61">
        <v>53</v>
      </c>
      <c r="AN64" s="62">
        <f t="shared" si="4"/>
        <v>0.90800000000000003</v>
      </c>
      <c r="AO64" s="72"/>
      <c r="AP64" s="72"/>
      <c r="AQ64" s="60"/>
      <c r="AR64" s="60"/>
      <c r="AS64" s="61"/>
      <c r="AT64" s="61"/>
      <c r="AU64">
        <v>56</v>
      </c>
      <c r="AV64" s="12">
        <f>(AV$68-AV$63)/5+AV63</f>
        <v>2.1</v>
      </c>
      <c r="AW64" s="61"/>
    </row>
    <row r="65" spans="2:49" s="70" customFormat="1" x14ac:dyDescent="0.3">
      <c r="B65" s="70">
        <f>IF((TAN(P2*PI()/180)*((wide/2)-(16*4/12)))&gt;0,(TAN(P2*PI()/180)*((wide/2)-(16*4/12))),0)</f>
        <v>14.9019273671541</v>
      </c>
      <c r="C65" s="71" t="s">
        <v>190</v>
      </c>
      <c r="N65" s="70">
        <f>IF((TAN(P3*PI()/180)*(wide/2-(16*4/12)))&gt;0,(TAN(P3*PI()/180)*(wide/2-(16*4/12))),0)</f>
        <v>14.9019273671541</v>
      </c>
      <c r="O65" s="71" t="s">
        <v>191</v>
      </c>
      <c r="Y65" s="70">
        <f>IF((TAN(P2*PI()/180)*((wide/2)-(24*4/12)))&gt;0,(TAN(P2*PI()/180)*((wide/2)-(24*4/12))),0)</f>
        <v>14.012260061652363</v>
      </c>
      <c r="Z65" s="71" t="s">
        <v>192</v>
      </c>
      <c r="AG65" s="60"/>
      <c r="AH65" s="60"/>
      <c r="AI65" s="61"/>
      <c r="AJ65" s="61"/>
      <c r="AK65" s="61">
        <v>3.15</v>
      </c>
      <c r="AL65" s="61">
        <f t="shared" si="16"/>
        <v>0.90700000000000003</v>
      </c>
      <c r="AM65" s="61">
        <v>54</v>
      </c>
      <c r="AN65" s="62">
        <f t="shared" si="4"/>
        <v>0.90700000000000003</v>
      </c>
      <c r="AO65" s="72"/>
      <c r="AP65" s="72"/>
      <c r="AQ65" s="60"/>
      <c r="AR65" s="60"/>
      <c r="AS65" s="61"/>
      <c r="AT65" s="61"/>
      <c r="AU65">
        <v>57</v>
      </c>
      <c r="AV65" s="12">
        <f>(AV$68-AV$63)/5+AV64</f>
        <v>2.1300000000000003</v>
      </c>
      <c r="AW65" s="61"/>
    </row>
    <row r="66" spans="2:49" s="70" customFormat="1" x14ac:dyDescent="0.3">
      <c r="B66" s="70">
        <f>IF((TAN(P2*PI()/180)*((wide/2)-(16*5/12)))&gt;0,(TAN(P2*PI()/180)*((wide/2)-(16*5/12))),0)</f>
        <v>14.457093714403232</v>
      </c>
      <c r="C66" s="71" t="s">
        <v>193</v>
      </c>
      <c r="N66" s="70">
        <f>IF((TAN(P3*PI()/180)*(wide/2-(16*5/12)))&gt;0,(TAN(P3*PI()/180)*(wide/2-(16*5/12))),0)</f>
        <v>14.457093714403232</v>
      </c>
      <c r="O66" s="71" t="s">
        <v>194</v>
      </c>
      <c r="Y66" s="70">
        <f>IF((TAN(P2*PI()/180)*((wide/2)-(24*5/12)))&gt;0,(TAN(P2*PI()/180)*((wide/2)-(24*5/12))),0)</f>
        <v>13.34500958252606</v>
      </c>
      <c r="Z66" s="71" t="s">
        <v>195</v>
      </c>
      <c r="AG66" s="60"/>
      <c r="AH66" s="60"/>
      <c r="AI66" s="61"/>
      <c r="AJ66" s="61"/>
      <c r="AK66" s="61">
        <v>3.2</v>
      </c>
      <c r="AL66" s="61">
        <f t="shared" si="16"/>
        <v>0.90600000000000003</v>
      </c>
      <c r="AM66" s="61">
        <v>55</v>
      </c>
      <c r="AN66" s="62">
        <f t="shared" si="4"/>
        <v>0.90600000000000003</v>
      </c>
      <c r="AO66" s="72"/>
      <c r="AP66" s="72"/>
      <c r="AQ66" s="60"/>
      <c r="AR66" s="60"/>
      <c r="AS66" s="61"/>
      <c r="AT66" s="61"/>
      <c r="AU66">
        <v>58</v>
      </c>
      <c r="AV66" s="12">
        <f>(AV$68-AV$63)/5+AV65</f>
        <v>2.1600000000000006</v>
      </c>
      <c r="AW66" s="61"/>
    </row>
    <row r="67" spans="2:49" s="70" customFormat="1" x14ac:dyDescent="0.3">
      <c r="B67" s="70">
        <f>IF((TAN(P2*PI()/180)*((wide/2)-(16*6/12)))&gt;0,(TAN(P2*PI()/180)*((wide/2)-(16*6/12))),0)</f>
        <v>14.012260061652363</v>
      </c>
      <c r="C67" s="71" t="s">
        <v>196</v>
      </c>
      <c r="N67" s="70">
        <f>IF((TAN(P3*PI()/180)*(wide/2-(16*6/12)))&gt;0,(TAN(P3*PI()/180)*(wide/2-(16*6/12))),0)</f>
        <v>14.012260061652363</v>
      </c>
      <c r="O67" s="71" t="s">
        <v>197</v>
      </c>
      <c r="Y67" s="70">
        <f>IF((TAN(P2*PI()/180)*((wide/2)-(24*6/12)))&gt;0,(TAN(P2*PI()/180)*((wide/2)-(24*6/12))),0)</f>
        <v>12.677759103399756</v>
      </c>
      <c r="Z67" s="71" t="s">
        <v>198</v>
      </c>
      <c r="AG67" s="60"/>
      <c r="AH67" s="60"/>
      <c r="AI67" s="61"/>
      <c r="AJ67" s="61"/>
      <c r="AK67" s="61">
        <v>3.25</v>
      </c>
      <c r="AL67" s="61">
        <f t="shared" si="16"/>
        <v>0.90500000000000003</v>
      </c>
      <c r="AM67" s="61">
        <v>56</v>
      </c>
      <c r="AN67" s="62">
        <f t="shared" si="4"/>
        <v>0.90500000000000003</v>
      </c>
      <c r="AO67" s="72"/>
      <c r="AP67" s="72"/>
      <c r="AQ67" s="60"/>
      <c r="AR67" s="60"/>
      <c r="AS67" s="61"/>
      <c r="AT67" s="61"/>
      <c r="AU67">
        <v>59</v>
      </c>
      <c r="AV67" s="12">
        <f>(AV$68-AV$63)/5+AV66</f>
        <v>2.1900000000000008</v>
      </c>
      <c r="AW67" s="61"/>
    </row>
    <row r="68" spans="2:49" s="70" customFormat="1" x14ac:dyDescent="0.3">
      <c r="B68" s="70">
        <f>IF((TAN(P2*PI()/180)*((wide/2)-(16*7/12)))&gt;0,(TAN(P2*PI()/180)*((wide/2)-(16*7/12))),0)</f>
        <v>13.567426408901493</v>
      </c>
      <c r="C68" s="71" t="s">
        <v>199</v>
      </c>
      <c r="N68" s="70">
        <f>IF((TAN(P3*PI()/180)*(wide/2-(16*7/12)))&gt;0,(TAN(P3*PI()/180)*(wide/2-(16*7/12))),0)</f>
        <v>13.567426408901493</v>
      </c>
      <c r="O68" s="71" t="s">
        <v>200</v>
      </c>
      <c r="Y68" s="70">
        <f>IF((TAN(P2*PI()/180)*((wide/2)-(24*7/12)))&gt;0,(TAN(P2*PI()/180)*((wide/2)-(24*7/12))),0)</f>
        <v>12.010508624273454</v>
      </c>
      <c r="Z68" s="71" t="s">
        <v>201</v>
      </c>
      <c r="AG68" s="60"/>
      <c r="AH68" s="60"/>
      <c r="AI68" s="61"/>
      <c r="AJ68" s="61"/>
      <c r="AK68" s="61">
        <v>3.3</v>
      </c>
      <c r="AL68" s="61">
        <f t="shared" si="16"/>
        <v>0.90400000000000003</v>
      </c>
      <c r="AM68" s="61">
        <v>57</v>
      </c>
      <c r="AN68" s="62">
        <f t="shared" si="4"/>
        <v>0.90400000000000003</v>
      </c>
      <c r="AO68" s="72"/>
      <c r="AP68" s="72"/>
      <c r="AQ68" s="60"/>
      <c r="AR68" s="60"/>
      <c r="AS68" s="61"/>
      <c r="AT68" s="61"/>
      <c r="AU68">
        <v>60</v>
      </c>
      <c r="AV68" s="61">
        <v>2.2200000000000002</v>
      </c>
      <c r="AW68" s="61"/>
    </row>
    <row r="69" spans="2:49" s="70" customFormat="1" x14ac:dyDescent="0.3">
      <c r="B69" s="70">
        <f>IF((TAN(P2*PI()/180)*((wide/2)-(16*8/12)))&gt;0,(TAN(P2*PI()/180)*((wide/2)-(16*8/12))),0)</f>
        <v>13.122592756150626</v>
      </c>
      <c r="C69" s="71" t="s">
        <v>202</v>
      </c>
      <c r="N69" s="70">
        <f>IF((TAN(P3*PI()/180)*(wide/2-(16*8/12)))&gt;0,(TAN(P3*PI()/180)*(wide/2-(16*8/12))),0)</f>
        <v>13.122592756150626</v>
      </c>
      <c r="O69" s="71" t="s">
        <v>203</v>
      </c>
      <c r="Y69" s="70">
        <f>IF((TAN(P2*PI()/180)*((wide/2)-(24*8/12)))&gt;0,(TAN(P2*PI()/180)*((wide/2)-(24*8/12))),0)</f>
        <v>11.34325814514715</v>
      </c>
      <c r="Z69" s="71" t="s">
        <v>204</v>
      </c>
      <c r="AG69" s="60"/>
      <c r="AH69" s="60"/>
      <c r="AI69" s="61"/>
      <c r="AJ69" s="61"/>
      <c r="AK69" s="61">
        <v>3.35</v>
      </c>
      <c r="AL69" s="61">
        <f t="shared" si="16"/>
        <v>0.90300000000000002</v>
      </c>
      <c r="AM69" s="61">
        <v>58</v>
      </c>
      <c r="AN69" s="62">
        <f t="shared" si="4"/>
        <v>0.90300000000000002</v>
      </c>
      <c r="AO69" s="72"/>
      <c r="AP69" s="72"/>
      <c r="AQ69" s="60"/>
      <c r="AR69" s="60"/>
      <c r="AS69" s="61"/>
      <c r="AT69" s="61"/>
      <c r="AU69">
        <v>61</v>
      </c>
      <c r="AV69" s="12">
        <f t="shared" ref="AV69:AV77" si="17">(AV$78-AV$68)/10+AV68</f>
        <v>2.2510000000000003</v>
      </c>
      <c r="AW69" s="61"/>
    </row>
    <row r="70" spans="2:49" s="70" customFormat="1" x14ac:dyDescent="0.3">
      <c r="B70" s="70">
        <f>IF((TAN(P2*PI()/180)*((wide/2)-(16*9/12)))&gt;0,(TAN(P2*PI()/180)*((wide/2)-(16*9/12))),0)</f>
        <v>12.677759103399756</v>
      </c>
      <c r="C70" s="71" t="s">
        <v>205</v>
      </c>
      <c r="N70" s="70">
        <f>IF((TAN(P3*PI()/180)*(wide/2-(16*9/12)))&gt;0,(TAN(P3*PI()/180)*(wide/2-(16*9/12))),0)</f>
        <v>12.677759103399756</v>
      </c>
      <c r="O70" s="71" t="s">
        <v>206</v>
      </c>
      <c r="Y70" s="70">
        <f>IF((TAN(P2*PI()/180)*((wide/2)-(24*9/12)))&gt;0,(TAN(P2*PI()/180)*((wide/2)-(24*9/12))),0)</f>
        <v>10.676007666020848</v>
      </c>
      <c r="Z70" s="71" t="s">
        <v>207</v>
      </c>
      <c r="AG70" s="60"/>
      <c r="AH70" s="60"/>
      <c r="AI70" s="61"/>
      <c r="AJ70" s="61"/>
      <c r="AK70" s="61">
        <v>3.4</v>
      </c>
      <c r="AL70" s="61">
        <f t="shared" si="16"/>
        <v>0.90200000000000002</v>
      </c>
      <c r="AM70" s="61">
        <v>59</v>
      </c>
      <c r="AN70" s="62">
        <f t="shared" si="4"/>
        <v>0.90200000000000002</v>
      </c>
      <c r="AO70" s="72"/>
      <c r="AP70" s="72"/>
      <c r="AQ70" s="60"/>
      <c r="AR70" s="60"/>
      <c r="AS70" s="61"/>
      <c r="AT70" s="61"/>
      <c r="AU70">
        <v>62</v>
      </c>
      <c r="AV70" s="12">
        <f t="shared" si="17"/>
        <v>2.2820000000000005</v>
      </c>
      <c r="AW70" s="61"/>
    </row>
    <row r="71" spans="2:49" s="70" customFormat="1" x14ac:dyDescent="0.3">
      <c r="B71" s="70">
        <f>IF((TAN(P2*PI()/180)*((wide/2)-(16*10/12)))&gt;0,(TAN(P2*PI()/180)*((wide/2)-(16*10/12))),0)</f>
        <v>12.232925450648887</v>
      </c>
      <c r="C71" s="71" t="s">
        <v>208</v>
      </c>
      <c r="N71" s="70">
        <f>IF((TAN(P3*PI()/180)*(wide/2-(16*10/12)))&gt;0,(TAN(P3*PI()/180)*(wide/2-(16*10/12))),0)</f>
        <v>12.232925450648887</v>
      </c>
      <c r="O71" s="71" t="s">
        <v>209</v>
      </c>
      <c r="Y71" s="70">
        <f>IF((TAN(P2*PI()/180)*((wide/2)-(24*10/12)))&gt;0,(TAN(P2*PI()/180)*((wide/2)-(24*10/12))),0)</f>
        <v>10.008757186894545</v>
      </c>
      <c r="Z71" s="71" t="s">
        <v>210</v>
      </c>
      <c r="AG71" s="60"/>
      <c r="AH71" s="60"/>
      <c r="AI71" s="61"/>
      <c r="AJ71" s="61"/>
      <c r="AK71" s="61">
        <v>3.45</v>
      </c>
      <c r="AL71" s="61">
        <f t="shared" si="16"/>
        <v>0.90100000000000002</v>
      </c>
      <c r="AM71" s="61">
        <v>60</v>
      </c>
      <c r="AN71" s="62">
        <f t="shared" si="4"/>
        <v>0.90100000000000002</v>
      </c>
      <c r="AO71" s="72"/>
      <c r="AP71" s="72"/>
      <c r="AQ71" s="60"/>
      <c r="AR71" s="60"/>
      <c r="AS71" s="61"/>
      <c r="AT71" s="61"/>
      <c r="AU71">
        <v>63</v>
      </c>
      <c r="AV71" s="12">
        <f t="shared" si="17"/>
        <v>2.3130000000000006</v>
      </c>
      <c r="AW71" s="61"/>
    </row>
    <row r="72" spans="2:49" s="70" customFormat="1" x14ac:dyDescent="0.3">
      <c r="B72" s="70">
        <f>IF((TAN(P2*PI()/180)*((wide/2)-(16*11/12)))&gt;0,(TAN(P2*PI()/180)*((wide/2)-(16*11/12))),0)</f>
        <v>11.788091797898019</v>
      </c>
      <c r="C72" s="71" t="s">
        <v>211</v>
      </c>
      <c r="N72" s="70">
        <f>IF((TAN(P3*PI()/180)*(wide/2-(16*11/12)))&gt;0,(TAN(P3*PI()/180)*(wide/2-(16*11/12))),0)</f>
        <v>11.788091797898019</v>
      </c>
      <c r="O72" s="71" t="s">
        <v>212</v>
      </c>
      <c r="Y72" s="70">
        <f>IF((TAN(P2*PI()/180)*((wide/2)-(24*11/12)))&gt;0,(TAN(P2*PI()/180)*((wide/2)-(24*11/12))),0)</f>
        <v>9.3415067077682412</v>
      </c>
      <c r="Z72" s="71" t="s">
        <v>213</v>
      </c>
      <c r="AG72" s="60"/>
      <c r="AH72" s="60"/>
      <c r="AI72" s="61"/>
      <c r="AJ72" s="61"/>
      <c r="AK72" s="61">
        <v>3.5</v>
      </c>
      <c r="AL72" s="61">
        <v>0.9</v>
      </c>
      <c r="AM72" s="61">
        <v>61</v>
      </c>
      <c r="AN72" s="62">
        <f t="shared" si="4"/>
        <v>0.9</v>
      </c>
      <c r="AO72" s="72"/>
      <c r="AP72" s="72"/>
      <c r="AQ72" s="60"/>
      <c r="AR72" s="60"/>
      <c r="AS72" s="61"/>
      <c r="AT72" s="61"/>
      <c r="AU72">
        <v>64</v>
      </c>
      <c r="AV72" s="12">
        <f t="shared" si="17"/>
        <v>2.3440000000000007</v>
      </c>
      <c r="AW72" s="61"/>
    </row>
    <row r="73" spans="2:49" s="70" customFormat="1" x14ac:dyDescent="0.3">
      <c r="B73" s="70">
        <f>IF((TAN(P2*PI()/180)*((wide/2)-(16*12/12)))&gt;0,(TAN(P2*PI()/180)*((wide/2)-(16*12/12))),0)</f>
        <v>11.34325814514715</v>
      </c>
      <c r="C73" s="71" t="s">
        <v>214</v>
      </c>
      <c r="N73" s="70">
        <f>IF((TAN(P3*PI()/180)*(wide/2-(16*12/12)))&gt;0,(TAN(P3*PI()/180)*(wide/2-(16*12/12))),0)</f>
        <v>11.34325814514715</v>
      </c>
      <c r="O73" s="71" t="s">
        <v>215</v>
      </c>
      <c r="Y73" s="70">
        <f>IF((TAN(P2*PI()/180)*((wide/2)-(24*12/12)))&gt;0,(TAN(P2*PI()/180)*((wide/2)-(24*12/12))),0)</f>
        <v>8.6742562286419389</v>
      </c>
      <c r="Z73" s="71" t="s">
        <v>216</v>
      </c>
      <c r="AG73" s="60"/>
      <c r="AH73" s="60"/>
      <c r="AI73" s="61"/>
      <c r="AJ73" s="61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>
        <v>65</v>
      </c>
      <c r="AV73" s="12">
        <f t="shared" si="17"/>
        <v>2.3750000000000009</v>
      </c>
      <c r="AW73" s="72"/>
    </row>
    <row r="74" spans="2:49" s="70" customFormat="1" x14ac:dyDescent="0.3">
      <c r="B74" s="70">
        <f>IF((TAN(P2*PI()/180)*((wide/2)-(16*13/12)))&gt;0,(TAN(P2*PI()/180)*((wide/2)-(16*13/12))),0)</f>
        <v>10.898424492396284</v>
      </c>
      <c r="C74" s="71" t="s">
        <v>217</v>
      </c>
      <c r="N74" s="70">
        <f>IF((TAN(P3*PI()/180)*(wide/2-(16*13/12)))&gt;0,(TAN(P3*PI()/180)*(wide/2-(16*13/12))),0)</f>
        <v>10.898424492396284</v>
      </c>
      <c r="O74" s="71" t="s">
        <v>218</v>
      </c>
      <c r="Y74" s="70">
        <f>IF((TAN(P2*PI()/180)*((wide/2)-(24*13/12)))&gt;0,(TAN(P2*PI()/180)*((wide/2)-(24*13/12))),0)</f>
        <v>8.0070057495156348</v>
      </c>
      <c r="Z74" s="71" t="s">
        <v>219</v>
      </c>
      <c r="AG74" s="60"/>
      <c r="AH74" s="60"/>
      <c r="AI74" s="61"/>
      <c r="AJ74" s="61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>
        <v>66</v>
      </c>
      <c r="AV74" s="12">
        <f t="shared" si="17"/>
        <v>2.406000000000001</v>
      </c>
      <c r="AW74" s="72"/>
    </row>
    <row r="75" spans="2:49" s="70" customFormat="1" x14ac:dyDescent="0.3">
      <c r="B75" s="70">
        <f>IF((TAN(P2*PI()/180)*((wide/2)-(16*14/12)))&gt;0,(TAN(P2*PI()/180)*((wide/2)-(16*14/12))),0)</f>
        <v>10.453590839645413</v>
      </c>
      <c r="C75" s="71" t="s">
        <v>220</v>
      </c>
      <c r="N75" s="70">
        <f>IF((TAN(P3*PI()/180)*(wide/2-(16*14/12)))&gt;0,(TAN(P3*PI()/180)*(wide/2-(16*14/12))),0)</f>
        <v>10.453590839645413</v>
      </c>
      <c r="O75" s="71" t="s">
        <v>221</v>
      </c>
      <c r="Y75" s="70">
        <f>IF((TAN(P2*PI()/180)*((wide/2)-(24*14/12)))&gt;0,(TAN(P2*PI()/180)*((wide/2)-(24*14/12))),0)</f>
        <v>7.3397552703893325</v>
      </c>
      <c r="Z75" s="71" t="s">
        <v>222</v>
      </c>
      <c r="AG75" s="60"/>
      <c r="AH75" s="60"/>
      <c r="AI75" s="61"/>
      <c r="AJ75" s="61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>
        <v>67</v>
      </c>
      <c r="AV75" s="12">
        <f t="shared" si="17"/>
        <v>2.4370000000000012</v>
      </c>
      <c r="AW75" s="72"/>
    </row>
    <row r="76" spans="2:49" s="70" customFormat="1" x14ac:dyDescent="0.3">
      <c r="B76" s="70">
        <f>IF((TAN(P2*PI()/180)*((wide/2)-(16*15/12)))&gt;0,(TAN(P2*PI()/180)*((wide/2)-(16*15/12))),0)</f>
        <v>10.008757186894545</v>
      </c>
      <c r="C76" s="71" t="s">
        <v>223</v>
      </c>
      <c r="N76" s="70">
        <f>IF((TAN(P3*PI()/180)*(wide/2-(16*15/12)))&gt;0,(TAN(P3*PI()/180)*(wide/2-(16*15/12))),0)</f>
        <v>10.008757186894545</v>
      </c>
      <c r="O76" s="71" t="s">
        <v>224</v>
      </c>
      <c r="Y76" s="70">
        <f>IF((TAN(P2*PI()/180)*((wide/2)-(24*15/12)))&gt;0,(TAN(P2*PI()/180)*((wide/2)-(24*15/12))),0)</f>
        <v>6.6725047912630302</v>
      </c>
      <c r="Z76" s="71" t="s">
        <v>225</v>
      </c>
      <c r="AG76" s="60"/>
      <c r="AH76" s="60"/>
      <c r="AI76" s="61"/>
      <c r="AJ76" s="61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>
        <v>68</v>
      </c>
      <c r="AV76" s="12">
        <f>(AV$78-AV$68)/10+AV75</f>
        <v>2.4680000000000013</v>
      </c>
      <c r="AW76" s="72"/>
    </row>
    <row r="77" spans="2:49" s="70" customFormat="1" x14ac:dyDescent="0.3">
      <c r="B77" s="70">
        <f>IF((TAN(P2*PI()/180)*((wide/2)-(16*16/12)))&gt;0,(TAN(P2*PI()/180)*((wide/2)-(16*16/12))),0)</f>
        <v>9.5639235341436759</v>
      </c>
      <c r="C77" s="71" t="s">
        <v>226</v>
      </c>
      <c r="N77" s="70">
        <f>IF((TAN(P3*PI()/180)*(wide/2-(16*16/12)))&gt;0,(TAN(P3*PI()/180)*(wide/2-(16*16/12))),0)</f>
        <v>9.5639235341436759</v>
      </c>
      <c r="O77" s="71" t="s">
        <v>227</v>
      </c>
      <c r="Y77" s="70">
        <f>IF((TAN(P2*PI()/180)*((wide/2)-(24*16/12)))&gt;0,(TAN(P2*PI()/180)*((wide/2)-(24*16/12))),0)</f>
        <v>6.005254312136727</v>
      </c>
      <c r="Z77" s="71" t="s">
        <v>228</v>
      </c>
      <c r="AG77" s="60"/>
      <c r="AH77" s="60"/>
      <c r="AI77" s="61"/>
      <c r="AJ77" s="61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>
        <v>69</v>
      </c>
      <c r="AV77" s="12">
        <f t="shared" si="17"/>
        <v>2.4990000000000014</v>
      </c>
      <c r="AW77" s="72"/>
    </row>
    <row r="78" spans="2:49" s="70" customFormat="1" x14ac:dyDescent="0.3">
      <c r="B78" s="70">
        <f>IF((TAN(P2*PI()/180)*((wide/2)-(16*17/12)))&gt;0,(TAN(P2*PI()/180)*((wide/2)-(16*17/12))),0)</f>
        <v>9.1190898813928065</v>
      </c>
      <c r="C78" s="71" t="s">
        <v>229</v>
      </c>
      <c r="N78" s="70">
        <f>IF((TAN(P3*PI()/180)*(wide/2-(16*17/12)))&gt;0,(TAN(P3*PI()/180)*(wide/2-(16*17/12))),0)</f>
        <v>9.1190898813928065</v>
      </c>
      <c r="O78" s="71" t="s">
        <v>230</v>
      </c>
      <c r="Y78" s="70">
        <f>IF((TAN(P2*PI()/180)*((wide/2)-(24*17/12)))&gt;0,(TAN(P2*PI()/180)*((wide/2)-(24*17/12))),0)</f>
        <v>5.3380038330104238</v>
      </c>
      <c r="Z78" s="71" t="s">
        <v>231</v>
      </c>
      <c r="AG78" s="60"/>
      <c r="AH78" s="60"/>
      <c r="AI78" s="61"/>
      <c r="AJ78" s="61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>
        <v>70</v>
      </c>
      <c r="AV78" s="72">
        <v>2.5299999999999998</v>
      </c>
      <c r="AW78" s="72"/>
    </row>
    <row r="79" spans="2:49" s="70" customFormat="1" x14ac:dyDescent="0.3">
      <c r="B79" s="70">
        <f>IF((TAN(P2*PI()/180)*((wide/2)-(16*18/12)))&gt;0,(TAN(P2*PI()/180)*((wide/2)-(16*18/12))),0)</f>
        <v>8.6742562286419389</v>
      </c>
      <c r="C79" s="71" t="s">
        <v>232</v>
      </c>
      <c r="N79" s="70">
        <f>IF((TAN(P3*PI()/180)*(wide/2-(16*18/12)))&gt;0,(TAN(P3*PI()/180)*(wide/2-(16*18/12))),0)</f>
        <v>8.6742562286419389</v>
      </c>
      <c r="O79" s="71" t="s">
        <v>233</v>
      </c>
      <c r="Y79" s="70">
        <f>IF((TAN(P2*PI()/180)*((wide/2)-(24*18/12)))&gt;0,(TAN(P2*PI()/180)*((wide/2)-(24*18/12))),0)</f>
        <v>4.6707533538841206</v>
      </c>
      <c r="Z79" s="71" t="s">
        <v>234</v>
      </c>
      <c r="AG79" s="60"/>
      <c r="AH79" s="60"/>
      <c r="AI79" s="61"/>
      <c r="AJ79" s="61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>
        <v>71</v>
      </c>
      <c r="AV79" s="12">
        <f t="shared" ref="AV79:AV87" si="18">(AV$88-AV$78)/10+AV78</f>
        <v>2.5612999999999997</v>
      </c>
      <c r="AW79" s="72"/>
    </row>
    <row r="80" spans="2:49" s="70" customFormat="1" x14ac:dyDescent="0.3">
      <c r="B80" s="70">
        <f>IF((TAN(P2*PI()/180)*((wide/2)-(16*19/12)))&gt;0,(TAN(P2*PI()/180)*((wide/2)-(16*19/12))),0)</f>
        <v>8.2294225758910713</v>
      </c>
      <c r="C80" s="71" t="s">
        <v>235</v>
      </c>
      <c r="N80" s="70">
        <f>IF((TAN(P3*PI()/180)*(wide/2-(16*19/12)))&gt;0,(TAN(P3*PI()/180)*(wide/2-(16*19/12))),0)</f>
        <v>8.2294225758910713</v>
      </c>
      <c r="O80" s="71" t="s">
        <v>236</v>
      </c>
      <c r="Y80" s="70">
        <f>IF((TAN(P2*PI()/180)*((wide/2)-(24*19/12)))&gt;0,(TAN(P2*PI()/180)*((wide/2)-(24*19/12))),0)</f>
        <v>4.0035028747578174</v>
      </c>
      <c r="Z80" s="71" t="s">
        <v>237</v>
      </c>
      <c r="AG80" s="60"/>
      <c r="AH80" s="60"/>
      <c r="AI80" s="61"/>
      <c r="AJ80" s="61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>
        <v>72</v>
      </c>
      <c r="AV80" s="12">
        <f t="shared" si="18"/>
        <v>2.5925999999999996</v>
      </c>
      <c r="AW80" s="72"/>
    </row>
    <row r="81" spans="2:49" s="70" customFormat="1" x14ac:dyDescent="0.3">
      <c r="B81" s="70">
        <f>IF((TAN(P2*PI()/180)*((wide/2)-(16*20/12)))&gt;0,(TAN(P2*PI()/180)*((wide/2)-(16*20/12))),0)</f>
        <v>7.784588923140201</v>
      </c>
      <c r="C81" s="71" t="s">
        <v>238</v>
      </c>
      <c r="N81" s="70">
        <f>IF((TAN(P3*PI()/180)*(wide/2-(16*20/12)))&gt;0,(TAN(P3*PI()/180)*(wide/2-(16*20/12))),0)</f>
        <v>7.784588923140201</v>
      </c>
      <c r="O81" s="71" t="s">
        <v>239</v>
      </c>
      <c r="Y81" s="70">
        <f>IF((TAN(P2*PI()/180)*((wide/2)-(24*20/12)))&gt;0,(TAN(P2*PI()/180)*((wide/2)-(24*20/12))),0)</f>
        <v>3.3362523956315151</v>
      </c>
      <c r="Z81" s="71" t="s">
        <v>240</v>
      </c>
      <c r="AG81" s="60"/>
      <c r="AH81" s="60"/>
      <c r="AI81" s="61"/>
      <c r="AJ81" s="61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>
        <v>73</v>
      </c>
      <c r="AV81" s="12">
        <f t="shared" si="18"/>
        <v>2.6238999999999995</v>
      </c>
      <c r="AW81" s="72"/>
    </row>
    <row r="82" spans="2:49" s="70" customFormat="1" x14ac:dyDescent="0.3">
      <c r="B82" s="70">
        <f>IF((TAN(P2*PI()/180)*((wide/2)-(16*21/12)))&gt;0,(TAN(P2*PI()/180)*((wide/2)-(16*21/12))),0)</f>
        <v>7.3397552703893325</v>
      </c>
      <c r="C82" s="71" t="s">
        <v>241</v>
      </c>
      <c r="N82" s="70">
        <f>IF((TAN(P3*PI()/180)*(wide/2-(16*21/12)))&gt;0,(TAN(P3*PI()/180)*(wide/2-(16*21/12))),0)</f>
        <v>7.3397552703893325</v>
      </c>
      <c r="O82" s="71" t="s">
        <v>242</v>
      </c>
      <c r="Y82" s="70">
        <f>IF((TAN(P2*PI()/180)*((wide/2)-(24*21/12)))&gt;0,(TAN(P2*PI()/180)*((wide/2)-(24*21/12))),0)</f>
        <v>2.6690019165052119</v>
      </c>
      <c r="Z82" s="71" t="s">
        <v>243</v>
      </c>
      <c r="AG82" s="60"/>
      <c r="AH82" s="60"/>
      <c r="AI82" s="61"/>
      <c r="AJ82" s="61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>
        <v>74</v>
      </c>
      <c r="AV82" s="12">
        <f t="shared" si="18"/>
        <v>2.6551999999999993</v>
      </c>
      <c r="AW82" s="72"/>
    </row>
    <row r="83" spans="2:49" s="70" customFormat="1" x14ac:dyDescent="0.3">
      <c r="B83" s="70">
        <f>IF((TAN(P2*PI()/180)*((wide/2)-(16*22/12)))&gt;0,(TAN(P2*PI()/180)*((wide/2)-(16*22/12))),0)</f>
        <v>6.8949216176384649</v>
      </c>
      <c r="C83" s="71" t="s">
        <v>244</v>
      </c>
      <c r="N83" s="70">
        <f>IF((TAN(P3*PI()/180)*(wide/2-(16*22/12)))&gt;0,(TAN(P3*PI()/180)*(wide/2-(16*22/12))),0)</f>
        <v>6.8949216176384649</v>
      </c>
      <c r="O83" s="71" t="s">
        <v>245</v>
      </c>
      <c r="Y83" s="70">
        <f>IF((TAN(P2*PI()/180)*((wide/2)-(24*22/12)))&gt;0,(TAN(P2*PI()/180)*((wide/2)-(24*22/12))),0)</f>
        <v>2.0017514373789087</v>
      </c>
      <c r="Z83" s="71" t="s">
        <v>246</v>
      </c>
      <c r="AG83" s="60"/>
      <c r="AH83" s="60"/>
      <c r="AI83" s="61"/>
      <c r="AJ83" s="61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>
        <v>75</v>
      </c>
      <c r="AV83" s="12">
        <f t="shared" si="18"/>
        <v>2.6864999999999992</v>
      </c>
      <c r="AW83" s="72"/>
    </row>
    <row r="84" spans="2:49" s="70" customFormat="1" x14ac:dyDescent="0.3">
      <c r="B84" s="70">
        <f>IF((TAN(P2*PI()/180)*((wide/2)-(16*23/12)))&gt;0,(TAN(P2*PI()/180)*((wide/2)-(16*23/12))),0)</f>
        <v>6.4500879648875946</v>
      </c>
      <c r="C84" s="71" t="s">
        <v>247</v>
      </c>
      <c r="N84" s="70">
        <f>IF((TAN(P3*PI()/180)*(wide/2-(16*23/12)))&gt;0,(TAN(P3*PI()/180)*(wide/2-(16*23/12))),0)</f>
        <v>6.4500879648875946</v>
      </c>
      <c r="O84" s="71" t="s">
        <v>248</v>
      </c>
      <c r="Y84" s="70">
        <f>IF((TAN(P2*PI()/180)*((wide/2)-(24*23/12)))&gt;0,(TAN(P2*PI()/180)*((wide/2)-(24*23/12))),0)</f>
        <v>1.334500958252606</v>
      </c>
      <c r="Z84" s="71" t="s">
        <v>249</v>
      </c>
      <c r="AG84" s="60"/>
      <c r="AH84" s="60"/>
      <c r="AI84" s="61"/>
      <c r="AJ84" s="61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>
        <v>76</v>
      </c>
      <c r="AV84" s="12">
        <f t="shared" si="18"/>
        <v>2.7177999999999991</v>
      </c>
      <c r="AW84" s="72"/>
    </row>
    <row r="85" spans="2:49" s="70" customFormat="1" x14ac:dyDescent="0.3">
      <c r="B85" s="70">
        <f>IF((TAN(P2*PI()/180)*((wide/2)-(16*24/12)))&gt;0,(TAN(P2*PI()/180)*((wide/2)-(16*24/12))),0)</f>
        <v>6.005254312136727</v>
      </c>
      <c r="C85" s="71" t="s">
        <v>250</v>
      </c>
      <c r="N85" s="70">
        <f>IF((TAN(P3*PI()/180)*(wide/2-(16*24/12)))&gt;0,(TAN(P3*PI()/180)*(wide/2-(16*24/12))),0)</f>
        <v>6.005254312136727</v>
      </c>
      <c r="O85" s="71" t="s">
        <v>251</v>
      </c>
      <c r="Y85" s="70">
        <f>IF((TAN(P2*PI()/180)*((wide/2)-(24*24/12)))&gt;0,(TAN(P2*PI()/180)*((wide/2)-(24*24/12))),0)</f>
        <v>0.66725047912630298</v>
      </c>
      <c r="Z85" s="71" t="s">
        <v>252</v>
      </c>
      <c r="AG85" s="60"/>
      <c r="AH85" s="60"/>
      <c r="AI85" s="61"/>
      <c r="AJ85" s="61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>
        <v>77</v>
      </c>
      <c r="AV85" s="12">
        <f t="shared" si="18"/>
        <v>2.749099999999999</v>
      </c>
      <c r="AW85" s="72"/>
    </row>
    <row r="86" spans="2:49" s="70" customFormat="1" x14ac:dyDescent="0.3">
      <c r="B86" s="70">
        <f>IF((TAN(P2*PI()/180)*((wide/2)-(16*25/12)))&gt;0,(TAN(P2*PI()/180)*((wide/2)-(16*25/12))),0)</f>
        <v>5.5604206593858576</v>
      </c>
      <c r="C86" s="71" t="s">
        <v>253</v>
      </c>
      <c r="N86" s="70">
        <f>IF((TAN(P3*PI()/180)*(wide/2-(16*25/12)))&gt;0,(TAN(P3*PI()/180)*(wide/2-(16*25/12))),0)</f>
        <v>5.5604206593858576</v>
      </c>
      <c r="O86" s="71" t="s">
        <v>254</v>
      </c>
      <c r="Y86" s="70">
        <f>IF((TAN(P2*PI()/180)*((wide/2)-(24*25/12)))&gt;0,(TAN(P2*PI()/180)*((wide/2)-(24*25/12))),0)</f>
        <v>0</v>
      </c>
      <c r="Z86" s="71" t="s">
        <v>255</v>
      </c>
      <c r="AG86" s="60"/>
      <c r="AH86" s="60"/>
      <c r="AI86" s="61"/>
      <c r="AJ86" s="61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>
        <v>78</v>
      </c>
      <c r="AV86" s="12">
        <f>(AV$88-AV$78)/10+AV85</f>
        <v>2.7803999999999989</v>
      </c>
      <c r="AW86" s="72"/>
    </row>
    <row r="87" spans="2:49" s="70" customFormat="1" x14ac:dyDescent="0.3">
      <c r="B87" s="70">
        <f>IF((TAN(P2*PI()/180)*((wide/2)-(16*26/12)))&gt;0,(TAN(P2*PI()/180)*((wide/2)-(16*26/12))),0)</f>
        <v>5.11558700663499</v>
      </c>
      <c r="C87" s="71" t="s">
        <v>256</v>
      </c>
      <c r="N87" s="70">
        <f>IF((TAN(P3*PI()/180)*(wide/2-(16*26/12)))&gt;0,(TAN(P3*PI()/180)*(wide/2-(16*26/12))),0)</f>
        <v>5.11558700663499</v>
      </c>
      <c r="O87" s="71" t="s">
        <v>257</v>
      </c>
      <c r="Y87" s="70">
        <f>IF((TAN(P2*PI()/180)*((wide/2)-(24*26/12)))&gt;0,(TAN(P2*PI()/180)*((wide/2)-(24*26/12))),0)</f>
        <v>0</v>
      </c>
      <c r="Z87" s="71" t="s">
        <v>258</v>
      </c>
      <c r="AG87" s="60"/>
      <c r="AH87" s="60"/>
      <c r="AI87" s="61"/>
      <c r="AJ87" s="61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>
        <v>79</v>
      </c>
      <c r="AV87" s="12">
        <f t="shared" si="18"/>
        <v>2.8116999999999988</v>
      </c>
      <c r="AW87" s="72"/>
    </row>
    <row r="88" spans="2:49" s="70" customFormat="1" x14ac:dyDescent="0.3">
      <c r="B88" s="70">
        <f>IF((TAN(P2*PI()/180)*((wide/2)-(16*27/12)))&gt;0,(TAN(P2*PI()/180)*((wide/2)-(16*27/12))),0)</f>
        <v>4.6707533538841206</v>
      </c>
      <c r="C88" s="71" t="s">
        <v>259</v>
      </c>
      <c r="N88" s="70">
        <f>IF((TAN(P3*PI()/180)*(wide/2-(16*27/12)))&gt;0,(TAN(P3*PI()/180)*(wide/2-(16*27/12))),0)</f>
        <v>4.6707533538841206</v>
      </c>
      <c r="O88" s="71" t="s">
        <v>260</v>
      </c>
      <c r="Y88" s="70">
        <f>IF((TAN(P2*PI()/180)*((wide/2)-(24*27/12)))&gt;0,(TAN(P2*PI()/180)*((wide/2)-(24*27/12))),0)</f>
        <v>0</v>
      </c>
      <c r="Z88" s="71" t="s">
        <v>261</v>
      </c>
      <c r="AG88" s="60"/>
      <c r="AH88" s="60"/>
      <c r="AI88" s="61"/>
      <c r="AJ88" s="61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>
        <v>80</v>
      </c>
      <c r="AV88" s="72">
        <v>2.843</v>
      </c>
      <c r="AW88" s="72"/>
    </row>
    <row r="89" spans="2:49" s="70" customFormat="1" x14ac:dyDescent="0.3">
      <c r="B89" s="70">
        <f>IF((TAN(P2*PI()/180)*((wide/2)-(16*28/12)))&gt;0,(TAN(P2*PI()/180)*((wide/2)-(16*28/12))),0)</f>
        <v>4.2259197011332512</v>
      </c>
      <c r="C89" s="71" t="s">
        <v>262</v>
      </c>
      <c r="N89" s="70">
        <f>IF((TAN(P3*PI()/180)*(wide/2-(16*28/12)))&gt;0,(TAN(P3*PI()/180)*(wide/2-(16*28/12))),0)</f>
        <v>4.2259197011332512</v>
      </c>
      <c r="O89" s="71" t="s">
        <v>263</v>
      </c>
      <c r="Y89" s="70">
        <f>IF((TAN(P2*PI()/180)*((wide/2)-(24*28/12)))&gt;0,(TAN(P2*PI()/180)*((wide/2)-(24*28/12))),0)</f>
        <v>0</v>
      </c>
      <c r="Z89" s="71" t="s">
        <v>264</v>
      </c>
      <c r="AG89" s="60"/>
      <c r="AH89" s="60"/>
      <c r="AI89" s="61"/>
      <c r="AJ89" s="61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</row>
    <row r="90" spans="2:49" s="70" customFormat="1" x14ac:dyDescent="0.3">
      <c r="B90" s="70">
        <f>IF((TAN(P2*PI()/180)*((wide/2)-(16*29/12)))&gt;0,(TAN(P2*PI()/180)*((wide/2)-(16*29/12))),0)</f>
        <v>3.7810860483823845</v>
      </c>
      <c r="C90" s="71" t="s">
        <v>265</v>
      </c>
      <c r="N90" s="70">
        <f>IF((TAN(P3*PI()/180)*(wide/2-(16*29/12)))&gt;0,(TAN(P3*PI()/180)*(wide/2-(16*29/12))),0)</f>
        <v>3.7810860483823845</v>
      </c>
      <c r="O90" s="71" t="s">
        <v>266</v>
      </c>
      <c r="Y90" s="70">
        <f>IF((TAN(P2*PI()/180)*((wide/2)-(24*29/12)))&gt;0,(TAN(P2*PI()/180)*((wide/2)-(24*29/12))),0)</f>
        <v>0</v>
      </c>
      <c r="Z90" s="71" t="s">
        <v>267</v>
      </c>
      <c r="AG90" s="60"/>
      <c r="AH90" s="60"/>
      <c r="AI90" s="61"/>
      <c r="AJ90" s="61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</row>
    <row r="91" spans="2:49" s="70" customFormat="1" x14ac:dyDescent="0.3">
      <c r="B91" s="70">
        <f>IF((TAN(P2*PI()/180)*((wide/2)-(16*30/12)))&gt;0,(TAN(P2*PI()/180)*((wide/2)-(16*30/12))),0)</f>
        <v>3.3362523956315151</v>
      </c>
      <c r="C91" s="71" t="s">
        <v>268</v>
      </c>
      <c r="N91" s="70">
        <f>IF((TAN(P3*PI()/180)*(wide/2-(16*30/12)))&gt;0,(TAN(P3*PI()/180)*(wide/2-(16*30/12))),0)</f>
        <v>3.3362523956315151</v>
      </c>
      <c r="O91" s="71" t="s">
        <v>269</v>
      </c>
      <c r="Y91" s="70">
        <f>IF((TAN(P2*PI()/180)*((wide/2)-(24*30/12)))&gt;0,(TAN(P2*PI()/180)*((wide/2)-(24*30/12))),0)</f>
        <v>0</v>
      </c>
      <c r="Z91" s="71" t="s">
        <v>270</v>
      </c>
      <c r="AG91" s="60"/>
      <c r="AH91" s="60"/>
      <c r="AI91" s="61"/>
      <c r="AJ91" s="61"/>
      <c r="AK91" s="61"/>
      <c r="AL91" s="61"/>
      <c r="AM91" s="61"/>
      <c r="AN91" s="61"/>
      <c r="AO91" s="72"/>
      <c r="AP91" s="72"/>
      <c r="AQ91" s="72"/>
      <c r="AR91" s="72"/>
      <c r="AS91" s="72"/>
      <c r="AT91" s="72"/>
      <c r="AU91" s="72"/>
      <c r="AV91" s="72"/>
      <c r="AW91" s="72"/>
    </row>
    <row r="92" spans="2:49" s="70" customFormat="1" x14ac:dyDescent="0.3">
      <c r="B92" s="70">
        <f>IF((TAN(P2*PI()/180)*((wide/2)-(16*31/12)))&gt;0,(TAN(P2*PI()/180)*((wide/2)-(16*31/12))),0)</f>
        <v>2.8914187428806453</v>
      </c>
      <c r="C92" s="71" t="s">
        <v>271</v>
      </c>
      <c r="N92" s="70">
        <f>IF((TAN(P3*PI()/180)*(wide/2-(16*31/12)))&gt;0,(TAN(P3*PI()/180)*(wide/2-(16*31/12))),0)</f>
        <v>2.8914187428806453</v>
      </c>
      <c r="O92" s="71" t="s">
        <v>272</v>
      </c>
      <c r="Y92" s="70">
        <f>IF((TAN(P2*PI()/180)*((wide/2)-(24*31/12)))&gt;0,(TAN(P2*PI()/180)*((wide/2)-(24*31/12))),0)</f>
        <v>0</v>
      </c>
      <c r="Z92" s="71" t="s">
        <v>273</v>
      </c>
      <c r="AG92" s="60"/>
      <c r="AH92" s="60"/>
      <c r="AI92" s="61"/>
      <c r="AJ92" s="61"/>
      <c r="AK92" s="60"/>
      <c r="AL92" s="60"/>
      <c r="AM92" s="60"/>
      <c r="AN92" s="60"/>
      <c r="AO92" s="72"/>
      <c r="AP92" s="72"/>
      <c r="AQ92" s="72"/>
      <c r="AR92" s="72"/>
      <c r="AS92" s="72"/>
      <c r="AT92" s="72"/>
      <c r="AU92" s="72"/>
      <c r="AV92" s="72"/>
      <c r="AW92" s="72"/>
    </row>
    <row r="93" spans="2:49" s="70" customFormat="1" x14ac:dyDescent="0.3">
      <c r="B93" s="70">
        <f>IF((TAN(P2*PI()/180)*((wide/2)-(16*32/12)))&gt;0,(TAN(P2*PI()/180)*((wide/2)-(16*32/12))),0)</f>
        <v>2.4465850901297785</v>
      </c>
      <c r="C93" s="71" t="s">
        <v>274</v>
      </c>
      <c r="N93" s="70">
        <f>IF((TAN(P3*PI()/180)*(wide/2-(16*32/12)))&gt;0,(TAN(P3*PI()/180)*(wide/2-(16*32/12))),0)</f>
        <v>2.4465850901297785</v>
      </c>
      <c r="O93" s="71" t="s">
        <v>275</v>
      </c>
      <c r="Y93" s="70">
        <f>IF((TAN(P2*PI()/180)*((wide/2)-(24*32/12)))&gt;0,(TAN(P2*PI()/180)*((wide/2)-(24*32/12))),0)</f>
        <v>0</v>
      </c>
      <c r="Z93" s="71" t="s">
        <v>276</v>
      </c>
      <c r="AG93" s="60"/>
      <c r="AH93" s="60"/>
      <c r="AI93" s="61"/>
      <c r="AJ93" s="61"/>
      <c r="AK93" s="60"/>
      <c r="AL93" s="60"/>
      <c r="AM93" s="60"/>
      <c r="AN93" s="60"/>
      <c r="AO93" s="72"/>
      <c r="AP93" s="72"/>
      <c r="AQ93" s="72"/>
      <c r="AR93" s="72"/>
      <c r="AS93" s="72"/>
      <c r="AT93" s="72"/>
      <c r="AU93" s="72"/>
      <c r="AV93" s="72"/>
      <c r="AW93" s="72"/>
    </row>
    <row r="94" spans="2:49" s="70" customFormat="1" x14ac:dyDescent="0.3">
      <c r="B94" s="70">
        <f>IF((TAN(P2*PI()/180)*((wide/2)-(16*33/12)))&gt;0,(TAN(P2*PI()/180)*((wide/2)-(16*33/12))),0)</f>
        <v>2.0017514373789087</v>
      </c>
      <c r="C94" s="71" t="s">
        <v>277</v>
      </c>
      <c r="N94" s="70">
        <f>IF((TAN(P3*PI()/180)*(wide/2-(16*33/12)))&gt;0,(TAN(P3*PI()/180)*(wide/2-(16*33/12))),0)</f>
        <v>2.0017514373789087</v>
      </c>
      <c r="O94" s="71" t="s">
        <v>278</v>
      </c>
      <c r="Y94" s="70">
        <f>IF((TAN(P2*PI()/180)*((wide/2)-(24*33/12)))&gt;0,(TAN(P2*PI()/180)*((wide/2)-(24*33/12))),0)</f>
        <v>0</v>
      </c>
      <c r="Z94" s="71" t="s">
        <v>279</v>
      </c>
      <c r="AG94" s="60"/>
      <c r="AH94" s="60"/>
      <c r="AI94" s="60"/>
      <c r="AJ94" s="60"/>
      <c r="AK94" s="61"/>
      <c r="AL94" s="61"/>
      <c r="AM94"/>
      <c r="AN94" s="86"/>
      <c r="AO94" s="72"/>
      <c r="AP94" s="72"/>
      <c r="AQ94" s="72"/>
      <c r="AR94" s="72"/>
      <c r="AS94" s="72"/>
      <c r="AT94" s="72"/>
      <c r="AU94" s="72"/>
      <c r="AV94" s="72"/>
      <c r="AW94" s="72"/>
    </row>
    <row r="95" spans="2:49" s="70" customFormat="1" x14ac:dyDescent="0.3">
      <c r="B95" s="70">
        <f>IF((TAN(P2*PI()/180)*((wide/2)-(16*34/12)))&gt;0,(TAN(P2*PI()/180)*((wide/2)-(16*34/12))),0)</f>
        <v>1.5569177846280395</v>
      </c>
      <c r="C95" s="71" t="s">
        <v>280</v>
      </c>
      <c r="N95" s="70">
        <f>IF((TAN(P3*PI()/180)*(wide/2-(16*34/12)))&gt;0,(TAN(P3*PI()/180)*(wide/2-(16*34/12))),0)</f>
        <v>1.5569177846280395</v>
      </c>
      <c r="O95" s="71" t="s">
        <v>281</v>
      </c>
      <c r="Y95" s="70">
        <f>IF((TAN(P2*PI()/180)*((wide/2)-(24*34/12)))&gt;0,(TAN(P2*PI()/180)*((wide/2)-(24*34/12))),0)</f>
        <v>0</v>
      </c>
      <c r="Z95" s="71" t="s">
        <v>282</v>
      </c>
      <c r="AG95" s="60"/>
      <c r="AH95" s="60"/>
      <c r="AI95" s="60"/>
      <c r="AJ95" s="60"/>
      <c r="AK95" s="60"/>
      <c r="AL95" s="60"/>
      <c r="AM95"/>
      <c r="AN95" s="86"/>
      <c r="AO95" s="72"/>
      <c r="AP95" s="72"/>
      <c r="AQ95" s="72"/>
      <c r="AR95" s="72"/>
      <c r="AS95" s="72"/>
      <c r="AT95" s="72"/>
      <c r="AU95" s="72"/>
      <c r="AV95" s="72"/>
      <c r="AW95" s="72"/>
    </row>
    <row r="96" spans="2:49" s="70" customFormat="1" x14ac:dyDescent="0.3">
      <c r="B96" s="70">
        <f>IF((TAN(P2*PI()/180)*((wide/2)-(16*35/12)))&gt;0,(TAN(P2*PI()/180)*((wide/2)-(16*35/12))),0)</f>
        <v>1.1120841318771724</v>
      </c>
      <c r="C96" s="71" t="s">
        <v>283</v>
      </c>
      <c r="N96" s="70">
        <f>IF((TAN(P3*PI()/180)*(wide/2-(16*35/12)))&gt;0,(TAN(P3*PI()/180)*(wide/2-(16*35/12))),0)</f>
        <v>1.1120841318771724</v>
      </c>
      <c r="O96" s="71" t="s">
        <v>284</v>
      </c>
      <c r="Y96" s="70">
        <f>IF((TAN(P2*PI()/180)*((wide/2)-(24*35/12)))&gt;0,(TAN(P2*PI()/180)*((wide/2)-(24*35/12))),0)</f>
        <v>0</v>
      </c>
      <c r="Z96" s="71" t="s">
        <v>285</v>
      </c>
      <c r="AG96" s="61"/>
      <c r="AH96" s="61"/>
      <c r="AI96" s="61"/>
      <c r="AJ96" s="61"/>
      <c r="AK96" s="60"/>
      <c r="AL96" s="60"/>
      <c r="AM96"/>
      <c r="AN96" s="86"/>
      <c r="AO96" s="72"/>
      <c r="AP96" s="72"/>
      <c r="AQ96" s="72"/>
      <c r="AR96" s="72"/>
      <c r="AS96" s="72"/>
      <c r="AT96" s="72"/>
      <c r="AU96" s="72"/>
      <c r="AV96" s="72"/>
      <c r="AW96" s="72"/>
    </row>
    <row r="97" spans="2:49" s="70" customFormat="1" x14ac:dyDescent="0.3">
      <c r="B97" s="70">
        <f>IF((TAN(P2*PI()/180)*((wide/2)-(16*36/12)))&gt;0,(TAN(P2*PI()/180)*((wide/2)-(16*36/12))),0)</f>
        <v>0.66725047912630298</v>
      </c>
      <c r="C97" s="71" t="s">
        <v>286</v>
      </c>
      <c r="N97" s="70">
        <f>IF((TAN(P3*PI()/180)*(wide/2-(16*36/12)))&gt;0,(TAN(P3*PI()/180)*(wide/2-(16*36/12))),0)</f>
        <v>0.66725047912630298</v>
      </c>
      <c r="O97" s="71" t="s">
        <v>287</v>
      </c>
      <c r="Y97" s="70">
        <f>IF((TAN(P2*PI()/180)*((wide/2)-(24*36/12)))&gt;0,(TAN(P2*PI()/180)*((wide/2)-(24*36/12))),0)</f>
        <v>0</v>
      </c>
      <c r="Z97" s="71" t="s">
        <v>288</v>
      </c>
      <c r="AG97" s="60"/>
      <c r="AH97" s="60"/>
      <c r="AI97" s="60"/>
      <c r="AJ97" s="60"/>
      <c r="AK97" s="60"/>
      <c r="AL97" s="60"/>
      <c r="AM97"/>
      <c r="AN97" s="86"/>
      <c r="AO97" s="72"/>
      <c r="AP97" s="72"/>
      <c r="AQ97" s="72"/>
      <c r="AR97" s="72"/>
      <c r="AS97" s="72"/>
      <c r="AT97" s="72"/>
      <c r="AU97" s="72"/>
      <c r="AV97" s="72"/>
      <c r="AW97" s="72"/>
    </row>
    <row r="98" spans="2:49" s="70" customFormat="1" x14ac:dyDescent="0.3">
      <c r="B98" s="70">
        <f>IF((TAN(P2*PI()/180)*((wide/2)-(16*37/12)))&gt;0,(TAN(P2*PI()/180)*((wide/2)-(16*37/12))),0)</f>
        <v>0.22241682637543353</v>
      </c>
      <c r="C98" s="71" t="s">
        <v>289</v>
      </c>
      <c r="N98" s="70">
        <f>IF((TAN(P3*PI()/180)*(wide/2-(16*37/12)))&gt;0,(TAN(P3*PI()/180)*(wide/2-(16*37/12))),0)</f>
        <v>0.22241682637543353</v>
      </c>
      <c r="O98" s="71" t="s">
        <v>290</v>
      </c>
      <c r="Y98" s="70">
        <f>IF((TAN(P2*PI()/180)*((wide/2)-(24*37/12)))&gt;0,(TAN(P2*PI()/180)*((wide/2)-(24*37/12))),0)</f>
        <v>0</v>
      </c>
      <c r="Z98" s="71" t="s">
        <v>291</v>
      </c>
      <c r="AG98" s="60"/>
      <c r="AH98" s="60"/>
      <c r="AI98" s="60"/>
      <c r="AJ98" s="60"/>
      <c r="AK98" s="60"/>
      <c r="AL98" s="60"/>
      <c r="AM98"/>
      <c r="AN98" s="86"/>
      <c r="AO98" s="72"/>
      <c r="AP98" s="72"/>
      <c r="AQ98" s="72"/>
      <c r="AR98" s="72"/>
      <c r="AS98" s="72"/>
      <c r="AT98" s="72"/>
      <c r="AU98" s="72"/>
      <c r="AV98" s="72"/>
      <c r="AW98" s="72"/>
    </row>
    <row r="99" spans="2:49" s="70" customFormat="1" x14ac:dyDescent="0.3">
      <c r="B99" s="70">
        <f>IF((TAN(P2*PI()/180)*((wide/2)-(16*38/12)))&gt;0,(TAN(P2*PI()/180)*((wide/2)-(16*38/12))),0)</f>
        <v>0</v>
      </c>
      <c r="C99" s="71" t="s">
        <v>292</v>
      </c>
      <c r="N99" s="70">
        <f>IF((TAN(P3*PI()/180)*(wide/2-(16*38/12)))&gt;0,(TAN(P3*PI()/180)*(wide/2-(16*38/12))),0)</f>
        <v>0</v>
      </c>
      <c r="O99" s="71" t="s">
        <v>293</v>
      </c>
      <c r="Y99" s="70">
        <f>IF((TAN(P2*PI()/180)*((wide/2)-(24*38/12)))&gt;0,(TAN(P2*PI()/180)*((wide/2)-(24*38/12))),0)</f>
        <v>0</v>
      </c>
      <c r="Z99" s="71" t="s">
        <v>294</v>
      </c>
      <c r="AG99" s="60"/>
      <c r="AH99" s="60"/>
      <c r="AI99" s="60"/>
      <c r="AJ99" s="60"/>
      <c r="AK99" s="60"/>
      <c r="AL99" s="60"/>
      <c r="AM99"/>
      <c r="AN99" s="86"/>
      <c r="AO99" s="72"/>
      <c r="AP99" s="72"/>
      <c r="AQ99" s="72"/>
      <c r="AR99" s="72"/>
      <c r="AS99" s="72"/>
      <c r="AT99" s="72"/>
      <c r="AU99" s="72"/>
      <c r="AV99" s="72"/>
      <c r="AW99" s="72"/>
    </row>
    <row r="100" spans="2:49" s="70" customFormat="1" x14ac:dyDescent="0.3">
      <c r="B100" s="70">
        <f>IF((TAN(P2*PI()/180)*((wide/2)-(16*39/12)))&gt;0,(TAN(P2*PI()/180)*((wide/2)-(16*39/12))),0)</f>
        <v>0</v>
      </c>
      <c r="C100" s="71" t="s">
        <v>295</v>
      </c>
      <c r="N100" s="70">
        <f>IF((TAN(P3*PI()/180)*(wide/2-(16*39/12)))&gt;0,(TAN(P3*PI()/180)*(wide/2-(16*39/12))),0)</f>
        <v>0</v>
      </c>
      <c r="O100" s="71" t="s">
        <v>296</v>
      </c>
      <c r="Y100" s="70">
        <f>IF((TAN(P2*PI()/180)*((wide/2)-(24*39/12)))&gt;0,(TAN(P2*PI()/180)*((wide/2)-(24*39/12))),0)</f>
        <v>0</v>
      </c>
      <c r="Z100" s="71" t="s">
        <v>297</v>
      </c>
      <c r="AG100" s="60"/>
      <c r="AH100" s="60"/>
      <c r="AI100" s="60"/>
      <c r="AJ100" s="60"/>
      <c r="AK100" s="60"/>
      <c r="AL100" s="60"/>
      <c r="AM100"/>
      <c r="AN100" s="86"/>
      <c r="AO100" s="72"/>
      <c r="AP100" s="72"/>
      <c r="AQ100" s="72"/>
      <c r="AR100" s="72"/>
      <c r="AS100" s="72"/>
      <c r="AT100" s="72"/>
      <c r="AU100" s="72"/>
      <c r="AV100" s="72"/>
      <c r="AW100" s="72"/>
    </row>
    <row r="101" spans="2:49" s="70" customFormat="1" x14ac:dyDescent="0.3">
      <c r="B101" s="70">
        <f>IF((TAN(P2*PI()/180)*((wide/2)-(16*40/12)))&gt;0,(TAN(P2*PI()/180)*((wide/2)-(16*40/12))),0)</f>
        <v>0</v>
      </c>
      <c r="C101" s="71" t="s">
        <v>298</v>
      </c>
      <c r="N101" s="70">
        <f>IF((TAN(P3*PI()/180)*(wide/2-(16*40/12)))&gt;0,(TAN(P3*PI()/180)*(wide/2-(16*40/12))),0)</f>
        <v>0</v>
      </c>
      <c r="O101" s="71" t="s">
        <v>299</v>
      </c>
      <c r="Y101" s="70">
        <f>IF((TAN(P2*PI()/180)*((wide/2)-(24*40/12)))&gt;0,(TAN(P2*PI()/180)*((wide/2)-(24*40/12))),0)</f>
        <v>0</v>
      </c>
      <c r="Z101" s="71" t="s">
        <v>300</v>
      </c>
      <c r="AG101" s="60"/>
      <c r="AH101" s="60"/>
      <c r="AI101" s="60"/>
      <c r="AJ101" s="60"/>
      <c r="AK101" s="60"/>
      <c r="AL101" s="60"/>
      <c r="AM101"/>
      <c r="AN101" s="86"/>
      <c r="AO101" s="72"/>
      <c r="AP101" s="72"/>
      <c r="AQ101" s="72"/>
      <c r="AR101" s="72"/>
      <c r="AS101" s="72"/>
      <c r="AT101" s="72"/>
      <c r="AU101" s="72"/>
      <c r="AV101" s="72"/>
      <c r="AW101" s="72"/>
    </row>
    <row r="102" spans="2:49" s="70" customFormat="1" x14ac:dyDescent="0.3">
      <c r="B102" s="70">
        <f>IF((TAN(P2*PI()/180)*((wide/2)-(16*41/12)))&gt;0,(TAN(P2*PI()/180)*((wide/2)-(16*41/12))),0)</f>
        <v>0</v>
      </c>
      <c r="C102" s="71" t="s">
        <v>301</v>
      </c>
      <c r="N102" s="70">
        <f>IF((TAN(P3*PI()/180)*(wide/2-(16*41/12)))&gt;0,(TAN(P3*PI()/180)*(wide/2-(16*41/12))),0)</f>
        <v>0</v>
      </c>
      <c r="O102" s="71" t="s">
        <v>302</v>
      </c>
      <c r="Y102" s="70">
        <f>IF((TAN(P2*PI()/180)*((wide/2)-(24*41/12)))&gt;0,(TAN(P2*PI()/180)*((wide/2)-(24*41/12))),0)</f>
        <v>0</v>
      </c>
      <c r="Z102" s="71" t="s">
        <v>303</v>
      </c>
      <c r="AG102" s="60"/>
      <c r="AH102" s="60"/>
      <c r="AI102" s="60"/>
      <c r="AJ102" s="60"/>
      <c r="AK102" s="60"/>
      <c r="AL102" s="60"/>
      <c r="AM102"/>
      <c r="AN102" s="86"/>
      <c r="AO102" s="72"/>
      <c r="AP102" s="72"/>
      <c r="AQ102" s="72"/>
      <c r="AR102" s="72"/>
      <c r="AS102" s="72"/>
      <c r="AT102" s="72"/>
      <c r="AU102" s="72"/>
      <c r="AV102" s="72"/>
      <c r="AW102" s="72"/>
    </row>
    <row r="103" spans="2:49" s="70" customFormat="1" x14ac:dyDescent="0.3">
      <c r="B103" s="70">
        <f>IF((TAN(P2*PI()/180)*((wide/2)-(16*42/12)))&gt;0,(TAN(P2*PI()/180)*((wide/2)-(16*42/12))),0)</f>
        <v>0</v>
      </c>
      <c r="C103" s="71" t="s">
        <v>304</v>
      </c>
      <c r="N103" s="70">
        <f>IF((TAN(P3*PI()/180)*(wide/2-(16*42/12)))&gt;0,(TAN(P3*PI()/180)*(wide/2-(16*42/12))),0)</f>
        <v>0</v>
      </c>
      <c r="O103" s="71" t="s">
        <v>305</v>
      </c>
      <c r="Y103" s="70">
        <f>IF((TAN(P2*PI()/180)*((wide/2)-(24*42/12)))&gt;0,(TAN(P2*PI()/180)*((wide/2)-(24*42/12))),0)</f>
        <v>0</v>
      </c>
      <c r="Z103" s="71" t="s">
        <v>306</v>
      </c>
      <c r="AG103" s="60"/>
      <c r="AH103" s="60"/>
      <c r="AI103" s="60"/>
      <c r="AJ103" s="60"/>
      <c r="AK103" s="60"/>
      <c r="AL103" s="60"/>
      <c r="AM103"/>
      <c r="AN103" s="86"/>
      <c r="AO103" s="72"/>
      <c r="AP103" s="72"/>
      <c r="AQ103" s="72"/>
      <c r="AR103" s="72"/>
      <c r="AS103" s="72"/>
      <c r="AT103" s="72"/>
      <c r="AU103" s="72"/>
      <c r="AV103" s="72"/>
      <c r="AW103" s="72"/>
    </row>
    <row r="104" spans="2:49" s="70" customFormat="1" x14ac:dyDescent="0.3">
      <c r="B104" s="70">
        <f>IF((TAN(P2*PI()/180)*((wide/2)-(16*43/12)))&gt;0,(TAN(P2*PI()/180)*((wide/2)-(16*43/12))),0)</f>
        <v>0</v>
      </c>
      <c r="C104" s="71" t="s">
        <v>307</v>
      </c>
      <c r="N104" s="70">
        <f>IF((TAN(P3*PI()/180)*(wide/2-(16*43/12)))&gt;0,(TAN(P3*PI()/180)*(wide/2-(16*43/12))),0)</f>
        <v>0</v>
      </c>
      <c r="O104" s="71" t="s">
        <v>308</v>
      </c>
      <c r="Y104" s="70">
        <f>IF((TAN(P2*PI()/180)*((wide/2)-(24*43/12)))&gt;0,(TAN(P2*PI()/180)*((wide/2)-(24*43/12))),0)</f>
        <v>0</v>
      </c>
      <c r="Z104" s="71" t="s">
        <v>309</v>
      </c>
      <c r="AG104" s="60"/>
      <c r="AH104" s="60"/>
      <c r="AI104" s="60"/>
      <c r="AJ104" s="60"/>
      <c r="AK104" s="60"/>
      <c r="AL104" s="60"/>
      <c r="AM104"/>
      <c r="AN104" s="86"/>
      <c r="AO104" s="72"/>
      <c r="AP104" s="72"/>
      <c r="AQ104" s="72"/>
      <c r="AR104" s="72"/>
      <c r="AS104" s="72"/>
      <c r="AT104" s="72"/>
      <c r="AU104" s="72"/>
      <c r="AV104" s="72"/>
      <c r="AW104" s="72"/>
    </row>
    <row r="105" spans="2:49" s="70" customFormat="1" x14ac:dyDescent="0.3">
      <c r="B105" s="70">
        <f>IF((TAN(P2*PI()/180)*((wide/2)-(16*44/12)))&gt;0,(TAN(P2*PI()/180)*((wide/2)-(16*44/12))),0)</f>
        <v>0</v>
      </c>
      <c r="C105" s="71" t="s">
        <v>310</v>
      </c>
      <c r="N105" s="70">
        <f>IF((TAN(P3*PI()/180)*(wide/2-(16*44/12)))&gt;0,(TAN(P3*PI()/180)*(wide/2-(16*44/12))),0)</f>
        <v>0</v>
      </c>
      <c r="O105" s="71" t="s">
        <v>311</v>
      </c>
      <c r="Y105" s="70">
        <f>IF((TAN(P2*PI()/180)*((wide/2)-(24*44/12)))&gt;0,(TAN(P2*PI()/180)*((wide/2)-(24*44/12))),0)</f>
        <v>0</v>
      </c>
      <c r="Z105" s="71" t="s">
        <v>312</v>
      </c>
      <c r="AG105" s="60"/>
      <c r="AH105" s="60"/>
      <c r="AI105" s="60"/>
      <c r="AJ105" s="60"/>
      <c r="AK105" s="60"/>
      <c r="AL105" s="60"/>
      <c r="AM105"/>
      <c r="AN105" s="86"/>
      <c r="AO105" s="72"/>
      <c r="AP105" s="72"/>
      <c r="AQ105" s="72"/>
      <c r="AR105" s="72"/>
      <c r="AS105" s="72"/>
      <c r="AT105" s="72"/>
      <c r="AU105" s="72"/>
      <c r="AV105" s="72"/>
      <c r="AW105" s="72"/>
    </row>
    <row r="106" spans="2:49" s="70" customFormat="1" x14ac:dyDescent="0.3">
      <c r="B106" s="70">
        <f>IF((TAN(P2*PI()/180)*((wide/2)-(16*45/12)))&gt;0,(TAN(P2*PI()/180)*((wide/2)-(16*45/12))),0)</f>
        <v>0</v>
      </c>
      <c r="C106" s="71" t="s">
        <v>313</v>
      </c>
      <c r="N106" s="70">
        <f>IF((TAN(P3*PI()/180)*(wide/2-(16*45/12)))&gt;0,(TAN(P3*PI()/180)*(wide/2-(16*45/12))),0)</f>
        <v>0</v>
      </c>
      <c r="O106" s="71" t="s">
        <v>314</v>
      </c>
      <c r="Y106" s="70">
        <f>IF((TAN(P2*PI()/180)*((wide/2)-(24*45/12)))&gt;0,(TAN(P2*PI()/180)*((wide/2)-(24*45/12))),0)</f>
        <v>0</v>
      </c>
      <c r="Z106" s="71" t="s">
        <v>315</v>
      </c>
      <c r="AG106" s="60"/>
      <c r="AH106" s="60"/>
      <c r="AI106" s="60"/>
      <c r="AJ106" s="60"/>
      <c r="AK106" s="60"/>
      <c r="AL106" s="60"/>
      <c r="AM106"/>
      <c r="AN106" s="86"/>
      <c r="AO106" s="72"/>
      <c r="AP106" s="72"/>
      <c r="AQ106" s="72"/>
      <c r="AR106" s="72"/>
      <c r="AS106" s="72"/>
      <c r="AT106" s="72"/>
      <c r="AU106" s="72"/>
      <c r="AV106" s="72"/>
      <c r="AW106" s="72"/>
    </row>
    <row r="107" spans="2:49" s="70" customFormat="1" x14ac:dyDescent="0.3">
      <c r="B107" s="70">
        <f>IF((TAN(P2*PI()/180)*((wide/2)-(16*46/12)))&gt;0,(TAN(P2*PI()/180)*((wide/2)-(16*46/12))),0)</f>
        <v>0</v>
      </c>
      <c r="C107" s="71" t="s">
        <v>316</v>
      </c>
      <c r="N107" s="70">
        <f>IF((TAN(P3*PI()/180)*(wide/2-(16*46/12)))&gt;0,(TAN(P3*PI()/180)*(wide/2-(16*46/12))),0)</f>
        <v>0</v>
      </c>
      <c r="O107" s="71" t="s">
        <v>317</v>
      </c>
      <c r="Y107" s="70">
        <f>IF((TAN(P2*PI()/180)*((wide/2)-(24*46/12)))&gt;0,(TAN(P2*PI()/180)*((wide/2)-(24*46/12))),0)</f>
        <v>0</v>
      </c>
      <c r="Z107" s="71" t="s">
        <v>318</v>
      </c>
      <c r="AG107" s="60"/>
      <c r="AH107" s="60"/>
      <c r="AI107" s="60"/>
      <c r="AJ107" s="60"/>
      <c r="AK107" s="61"/>
      <c r="AL107" s="61"/>
      <c r="AM107"/>
      <c r="AN107" s="86"/>
      <c r="AO107" s="72"/>
      <c r="AP107" s="72"/>
      <c r="AQ107" s="72"/>
      <c r="AR107" s="72"/>
      <c r="AS107" s="72"/>
      <c r="AT107" s="72"/>
      <c r="AU107" s="72"/>
      <c r="AV107" s="72"/>
      <c r="AW107" s="72"/>
    </row>
    <row r="108" spans="2:49" s="70" customFormat="1" x14ac:dyDescent="0.3">
      <c r="B108" s="70">
        <f>IF((TAN(P2*PI()/180)*((wide/2)-(16*47/12)))&gt;0,(TAN(P2*PI()/180)*((wide/2)-(16*47/12))),0)</f>
        <v>0</v>
      </c>
      <c r="C108" s="71" t="s">
        <v>319</v>
      </c>
      <c r="N108" s="70">
        <f>IF((TAN(P3*PI()/180)*(wide/2-(16*47/12)))&gt;0,(TAN(P3*PI()/180)*(wide/2-(16*47/12))),0)</f>
        <v>0</v>
      </c>
      <c r="O108" s="71" t="s">
        <v>320</v>
      </c>
      <c r="Y108" s="70">
        <f>IF((TAN(P2*PI()/180)*((wide/2)-(24*47/12)))&gt;0,(TAN(P2*PI()/180)*((wide/2)-(24*47/12))),0)</f>
        <v>0</v>
      </c>
      <c r="Z108" s="71" t="s">
        <v>321</v>
      </c>
      <c r="AG108" s="60"/>
      <c r="AH108" s="60"/>
      <c r="AI108" s="60"/>
      <c r="AJ108" s="60"/>
      <c r="AK108" s="61"/>
      <c r="AL108" s="61"/>
      <c r="AM108"/>
      <c r="AN108" s="86"/>
      <c r="AO108" s="72"/>
      <c r="AP108" s="72"/>
      <c r="AQ108" s="72"/>
      <c r="AR108" s="72"/>
      <c r="AS108" s="72"/>
      <c r="AT108" s="72"/>
      <c r="AU108" s="72"/>
      <c r="AV108" s="72"/>
      <c r="AW108" s="72"/>
    </row>
    <row r="109" spans="2:49" s="70" customFormat="1" x14ac:dyDescent="0.3">
      <c r="B109" s="70">
        <f>IF((TAN(P2*PI()/180)*((wide/2)-(16*48/12)))&gt;0,(TAN(P2*PI()/180)*((wide/2)-(16*48/12))),0)</f>
        <v>0</v>
      </c>
      <c r="C109" s="71" t="s">
        <v>322</v>
      </c>
      <c r="N109" s="70">
        <f>IF((TAN(P3*PI()/180)*(wide/2-(16*48/12)))&gt;0,(TAN(P3*PI()/180)*(wide/2-(16*48/12))),0)</f>
        <v>0</v>
      </c>
      <c r="O109" s="71" t="s">
        <v>323</v>
      </c>
      <c r="Y109" s="70">
        <f>IF((TAN(P2*PI()/180)*((wide/2)-(24*48/12)))&gt;0,(TAN(P2*PI()/180)*((wide/2)-(24*48/12))),0)</f>
        <v>0</v>
      </c>
      <c r="Z109" s="71" t="s">
        <v>324</v>
      </c>
      <c r="AG109" s="61"/>
      <c r="AH109" s="61"/>
      <c r="AI109" s="61"/>
      <c r="AJ109" s="61"/>
      <c r="AK109" s="61"/>
      <c r="AL109" s="61"/>
      <c r="AM109"/>
      <c r="AN109" s="86"/>
      <c r="AO109" s="72"/>
      <c r="AP109" s="72"/>
      <c r="AQ109" s="72"/>
      <c r="AR109" s="72"/>
      <c r="AS109" s="72"/>
      <c r="AT109" s="72"/>
      <c r="AU109" s="72"/>
      <c r="AV109" s="72"/>
      <c r="AW109" s="72"/>
    </row>
    <row r="110" spans="2:49" s="70" customFormat="1" x14ac:dyDescent="0.3">
      <c r="B110" s="70">
        <f>IF((TAN(P2*PI()/180)*((wide/2)-(16*49/12)))&gt;0,(TAN(P2*PI()/180)*((wide/2)-(16*49/12))),0)</f>
        <v>0</v>
      </c>
      <c r="C110" s="71" t="s">
        <v>325</v>
      </c>
      <c r="N110" s="70">
        <f>IF((TAN(P3*PI()/180)*(wide/2-(16*49/12)))&gt;0,(TAN(P3*PI()/180)*(wide/2-(16*49/12))),0)</f>
        <v>0</v>
      </c>
      <c r="O110" s="71" t="s">
        <v>326</v>
      </c>
      <c r="Y110" s="70">
        <f>IF((TAN(P2*PI()/180)*((wide/2)-(24*49/12)))&gt;0,(TAN(P2*PI()/180)*((wide/2)-(24*49/12))),0)</f>
        <v>0</v>
      </c>
      <c r="Z110" s="71" t="s">
        <v>327</v>
      </c>
      <c r="AG110" s="61"/>
      <c r="AH110" s="61"/>
      <c r="AI110" s="61"/>
      <c r="AJ110" s="61"/>
      <c r="AK110" s="61"/>
      <c r="AL110" s="61"/>
      <c r="AM110"/>
      <c r="AN110" s="86"/>
      <c r="AO110" s="72"/>
      <c r="AP110" s="72"/>
      <c r="AQ110" s="72"/>
      <c r="AR110" s="72"/>
      <c r="AS110" s="72"/>
      <c r="AT110" s="72"/>
      <c r="AU110" s="72"/>
      <c r="AV110" s="72"/>
      <c r="AW110" s="72"/>
    </row>
    <row r="111" spans="2:49" s="70" customFormat="1" x14ac:dyDescent="0.3">
      <c r="B111" s="70">
        <f>IF((TAN(P2*PI()/180)*((wide/2)-(16*50/12)))&gt;0,(TAN(P2*PI()/180)*((wide/2)-(16*50/12))),0)</f>
        <v>0</v>
      </c>
      <c r="C111" s="71" t="s">
        <v>328</v>
      </c>
      <c r="N111" s="70">
        <f>IF((TAN(P3*PI()/180)*(wide/2-(16*50/12)))&gt;0,(TAN(P3*PI()/180)*(wide/2-(16*50/12))),0)</f>
        <v>0</v>
      </c>
      <c r="O111" s="71" t="s">
        <v>329</v>
      </c>
      <c r="Y111" s="70">
        <f>IF((TAN(P2*PI()/180)*((wide/2)-(24*50/12)))&gt;0,(TAN(P2*PI()/180)*((wide/2)-(24*50/12))),0)</f>
        <v>0</v>
      </c>
      <c r="Z111" s="71" t="s">
        <v>330</v>
      </c>
      <c r="AG111" s="61"/>
      <c r="AH111" s="61"/>
      <c r="AI111" s="61"/>
      <c r="AJ111" s="61"/>
      <c r="AK111" s="61"/>
      <c r="AL111" s="61"/>
      <c r="AM111"/>
      <c r="AN111" s="86"/>
      <c r="AO111" s="72"/>
      <c r="AP111" s="72"/>
      <c r="AQ111" s="72"/>
      <c r="AR111" s="72"/>
      <c r="AS111" s="72"/>
      <c r="AT111" s="72"/>
      <c r="AU111" s="72"/>
      <c r="AV111" s="72"/>
      <c r="AW111" s="72"/>
    </row>
    <row r="112" spans="2:49" s="70" customFormat="1" x14ac:dyDescent="0.3">
      <c r="B112" s="70">
        <f>IF((TAN(P2*PI()/180)*((wide/2)-(16*51/12)))&gt;0,(TAN(P2*PI()/180)*((wide/2)-(16*51/12))),0)</f>
        <v>0</v>
      </c>
      <c r="C112" s="71" t="s">
        <v>331</v>
      </c>
      <c r="N112" s="70">
        <f>IF((TAN(P3*PI()/180)*(wide/2-(16*51/12)))&gt;0,(TAN(P3*PI()/180)*(wide/2-(16*51/12))),0)</f>
        <v>0</v>
      </c>
      <c r="O112" s="71" t="s">
        <v>332</v>
      </c>
      <c r="Y112" s="70">
        <f>IF((TAN(P2*PI()/180)*((wide/2)-(24*51/12)))&gt;0,(TAN(P2*PI()/180)*((wide/2)-(24*51/12))),0)</f>
        <v>0</v>
      </c>
      <c r="Z112" s="71" t="s">
        <v>333</v>
      </c>
      <c r="AG112" s="61"/>
      <c r="AH112" s="61"/>
      <c r="AI112" s="61"/>
      <c r="AJ112" s="61"/>
      <c r="AK112" s="61"/>
      <c r="AL112" s="61"/>
      <c r="AM112"/>
      <c r="AN112" s="86"/>
      <c r="AO112" s="72"/>
      <c r="AP112" s="72"/>
      <c r="AQ112" s="72"/>
      <c r="AR112" s="72"/>
      <c r="AS112" s="72"/>
      <c r="AT112" s="72"/>
      <c r="AU112" s="72"/>
      <c r="AV112" s="72"/>
      <c r="AW112" s="72"/>
    </row>
    <row r="113" spans="2:49" s="70" customFormat="1" x14ac:dyDescent="0.3">
      <c r="B113" s="70">
        <f>IF((TAN(P2*PI()/180)*((wide/2)-(16*52/12)))&gt;0,(TAN(P2*PI()/180)*((wide/2)-(16*52/12))),0)</f>
        <v>0</v>
      </c>
      <c r="C113" s="71" t="s">
        <v>334</v>
      </c>
      <c r="N113" s="70">
        <f>IF((TAN(P3*PI()/180)*(wide/2-(16*52/12)))&gt;0,(TAN(P3*PI()/180)*(wide/2-(16*52/12))),0)</f>
        <v>0</v>
      </c>
      <c r="O113" s="71" t="s">
        <v>335</v>
      </c>
      <c r="Y113" s="70">
        <f>IF((TAN(P2*PI()/180)*((wide/2)-(24*52/12)))&gt;0,(TAN(P2*PI()/180)*((wide/2)-(24*52/12))),0)</f>
        <v>0</v>
      </c>
      <c r="Z113" s="71" t="s">
        <v>336</v>
      </c>
      <c r="AG113" s="61"/>
      <c r="AH113" s="61"/>
      <c r="AI113" s="61"/>
      <c r="AJ113" s="61"/>
      <c r="AK113" s="61"/>
      <c r="AL113" s="61"/>
      <c r="AM113"/>
      <c r="AN113" s="86"/>
      <c r="AO113" s="72"/>
      <c r="AP113" s="72"/>
      <c r="AQ113" s="72"/>
      <c r="AR113" s="72"/>
      <c r="AS113" s="72"/>
      <c r="AT113" s="72"/>
      <c r="AU113" s="72"/>
      <c r="AV113" s="72"/>
      <c r="AW113" s="72"/>
    </row>
    <row r="114" spans="2:49" s="70" customFormat="1" x14ac:dyDescent="0.3">
      <c r="B114" s="70">
        <f>IF((TAN(P2*PI()/180)*((wide/2)-(16*53/12)))&gt;0,(TAN(P2*PI()/180)*((wide/2)-(16*53/12))),0)</f>
        <v>0</v>
      </c>
      <c r="C114" s="71" t="s">
        <v>337</v>
      </c>
      <c r="N114" s="70">
        <f>IF((TAN(P3*PI()/180)*(wide/2-(16*53/12)))&gt;0,(TAN(P3*PI()/180)*(wide/2-(16*53/12))),0)</f>
        <v>0</v>
      </c>
      <c r="O114" s="71" t="s">
        <v>338</v>
      </c>
      <c r="Y114" s="70">
        <f>IF((TAN(P2*PI()/180)*((wide/2)-(24*53/12)))&gt;0,(TAN(P2*PI()/180)*((wide/2)-(24*53/12))),0)</f>
        <v>0</v>
      </c>
      <c r="Z114" s="71" t="s">
        <v>339</v>
      </c>
      <c r="AG114" s="61"/>
      <c r="AH114" s="61"/>
      <c r="AI114" s="61"/>
      <c r="AJ114" s="61"/>
      <c r="AK114" s="61"/>
      <c r="AL114" s="61"/>
      <c r="AM114"/>
      <c r="AN114" s="86"/>
      <c r="AO114" s="72"/>
      <c r="AP114" s="72"/>
      <c r="AQ114" s="72"/>
      <c r="AR114" s="72"/>
      <c r="AS114" s="72"/>
      <c r="AT114" s="72"/>
      <c r="AU114" s="72"/>
      <c r="AV114" s="72"/>
      <c r="AW114" s="72"/>
    </row>
    <row r="115" spans="2:49" s="70" customFormat="1" x14ac:dyDescent="0.3">
      <c r="B115" s="70">
        <f>IF((TAN(P2*PI()/180)*((wide/2)-(16*54/12)))&gt;0,(TAN(P2*PI()/180)*((wide/2)-(16*54/12))),0)</f>
        <v>0</v>
      </c>
      <c r="C115" s="71" t="s">
        <v>340</v>
      </c>
      <c r="N115" s="70">
        <f>IF((TAN(P3*PI()/180)*(wide/2-(16*54/12)))&gt;0,(TAN(P3*PI()/180)*(wide/2-(16*54/12))),0)</f>
        <v>0</v>
      </c>
      <c r="O115" s="71" t="s">
        <v>341</v>
      </c>
      <c r="Y115" s="70">
        <f>IF((TAN(P2*PI()/180)*((wide/2)-(24*54/12)))&gt;0,(TAN(P2*PI()/180)*((wide/2)-(24*54/12))),0)</f>
        <v>0</v>
      </c>
      <c r="Z115" s="71" t="s">
        <v>342</v>
      </c>
      <c r="AG115" s="61"/>
      <c r="AH115" s="61"/>
      <c r="AI115" s="61"/>
      <c r="AJ115" s="61"/>
      <c r="AK115" s="61"/>
      <c r="AL115" s="61"/>
      <c r="AM115"/>
      <c r="AN115" s="86"/>
      <c r="AO115" s="72"/>
      <c r="AP115" s="72"/>
      <c r="AQ115" s="72"/>
      <c r="AR115" s="72"/>
      <c r="AS115" s="72"/>
      <c r="AT115" s="72"/>
      <c r="AU115" s="72"/>
      <c r="AV115" s="72"/>
      <c r="AW115" s="72"/>
    </row>
    <row r="116" spans="2:49" s="70" customFormat="1" x14ac:dyDescent="0.3">
      <c r="B116" s="70">
        <f>IF((TAN(P2*PI()/180)*((wide/2)-(16*55/12)))&gt;0,(TAN(P2*PI()/180)*((wide/2)-(16*55/12))),0)</f>
        <v>0</v>
      </c>
      <c r="C116" s="71" t="s">
        <v>343</v>
      </c>
      <c r="N116" s="70">
        <f>IF((TAN(P3*PI()/180)*(wide/2-(16*55/12)))&gt;0,(TAN(P3*PI()/180)*(wide/2-(16*55/12))),0)</f>
        <v>0</v>
      </c>
      <c r="O116" s="71" t="s">
        <v>344</v>
      </c>
      <c r="Y116" s="70">
        <f>IF((TAN(P2*PI()/180)*((wide/2)-(24*55/12)))&gt;0,(TAN(P2*PI()/180)*((wide/2)-(24*55/12))),0)</f>
        <v>0</v>
      </c>
      <c r="Z116" s="71" t="s">
        <v>345</v>
      </c>
      <c r="AG116" s="61"/>
      <c r="AH116" s="61"/>
      <c r="AI116" s="61"/>
      <c r="AJ116" s="61"/>
      <c r="AK116" s="61"/>
      <c r="AL116" s="61"/>
      <c r="AM116"/>
      <c r="AN116" s="86"/>
      <c r="AO116" s="72"/>
      <c r="AP116" s="72"/>
      <c r="AQ116" s="72"/>
      <c r="AR116" s="72"/>
      <c r="AS116" s="72"/>
      <c r="AT116" s="72"/>
      <c r="AU116" s="72"/>
      <c r="AV116" s="72"/>
      <c r="AW116" s="72"/>
    </row>
    <row r="117" spans="2:49" s="70" customFormat="1" x14ac:dyDescent="0.3">
      <c r="B117" s="70">
        <f>IF((TAN(P2*PI()/180)*((wide/2)-(16*56/12)))&gt;0,(TAN(P2*PI()/180)*((wide/2)-(16*56/12))),0)</f>
        <v>0</v>
      </c>
      <c r="C117" s="71" t="s">
        <v>346</v>
      </c>
      <c r="N117" s="70">
        <f>IF((TAN(P3*PI()/180)*(wide/2-(16*56/12)))&gt;0,(TAN(P3*PI()/180)*(wide/2-(16*56/12))),0)</f>
        <v>0</v>
      </c>
      <c r="O117" s="71" t="s">
        <v>347</v>
      </c>
      <c r="Y117" s="70">
        <f>IF((TAN(P2*PI()/180)*((wide/2)-(24*56/12)))&gt;0,(TAN(P2*PI()/180)*((wide/2)-(24*56/12))),0)</f>
        <v>0</v>
      </c>
      <c r="Z117" s="71" t="s">
        <v>348</v>
      </c>
      <c r="AG117" s="61"/>
      <c r="AH117" s="61"/>
      <c r="AI117" s="61"/>
      <c r="AJ117" s="61"/>
      <c r="AK117" s="61"/>
      <c r="AL117" s="61"/>
      <c r="AM117"/>
      <c r="AN117" s="86"/>
      <c r="AO117" s="72"/>
      <c r="AP117" s="72"/>
      <c r="AQ117" s="72"/>
      <c r="AR117" s="72"/>
      <c r="AS117" s="72"/>
      <c r="AT117" s="72"/>
      <c r="AU117" s="72"/>
      <c r="AV117" s="72"/>
      <c r="AW117" s="72"/>
    </row>
    <row r="118" spans="2:49" s="70" customFormat="1" x14ac:dyDescent="0.3">
      <c r="B118" s="70">
        <f>IF((TAN(P2*PI()/180)*((wide/2)-(16*57/12)))&gt;0,(TAN(P2*PI()/180)*((wide/2)-(16*57/12))),0)</f>
        <v>0</v>
      </c>
      <c r="C118" s="71" t="s">
        <v>349</v>
      </c>
      <c r="N118" s="70">
        <f>IF((TAN(P3*PI()/180)*(wide/2-(16*57/12)))&gt;0,(TAN(P3*PI()/180)*(wide/2-(16*57/12))),0)</f>
        <v>0</v>
      </c>
      <c r="O118" s="71" t="s">
        <v>350</v>
      </c>
      <c r="Y118" s="70">
        <f>IF((TAN(P2*PI()/180)*((wide/2)-(24*57/12)))&gt;0,(TAN(P2*PI()/180)*((wide/2)-(24*57/12))),0)</f>
        <v>0</v>
      </c>
      <c r="Z118" s="71" t="s">
        <v>351</v>
      </c>
      <c r="AG118" s="61"/>
      <c r="AH118" s="61"/>
      <c r="AI118" s="61"/>
      <c r="AJ118" s="61"/>
      <c r="AK118" s="61"/>
      <c r="AL118" s="61"/>
      <c r="AM118"/>
      <c r="AN118" s="86"/>
      <c r="AO118" s="72"/>
      <c r="AP118" s="72"/>
      <c r="AQ118" s="72"/>
      <c r="AR118" s="72"/>
      <c r="AS118" s="72"/>
      <c r="AT118" s="72"/>
      <c r="AU118" s="72"/>
      <c r="AV118" s="72"/>
      <c r="AW118" s="72"/>
    </row>
    <row r="119" spans="2:49" s="70" customFormat="1" x14ac:dyDescent="0.3">
      <c r="B119" s="70">
        <f>IF((TAN(P2*PI()/180)*((wide/2)-(16*58/12)))&gt;0,(TAN(P2*PI()/180)*((wide/2)-(16*58/12))),0)</f>
        <v>0</v>
      </c>
      <c r="C119" s="71" t="s">
        <v>352</v>
      </c>
      <c r="N119" s="70">
        <f>IF((TAN(P3*PI()/180)*(wide/2-(16*58/12)))&gt;0,(TAN(P3*PI()/180)*(wide/2-(16*58/12))),0)</f>
        <v>0</v>
      </c>
      <c r="O119" s="71" t="s">
        <v>353</v>
      </c>
      <c r="Y119" s="70">
        <f>IF((TAN(P2*PI()/180)*((wide/2)-(24*58/12)))&gt;0,(TAN(P2*PI()/180)*((wide/2)-(24*58/12))),0)</f>
        <v>0</v>
      </c>
      <c r="Z119" s="71" t="s">
        <v>354</v>
      </c>
      <c r="AG119" s="61"/>
      <c r="AH119" s="61"/>
      <c r="AI119" s="61"/>
      <c r="AJ119" s="61"/>
      <c r="AK119" s="61"/>
      <c r="AL119" s="61"/>
      <c r="AM119"/>
      <c r="AN119" s="86"/>
      <c r="AO119" s="72"/>
      <c r="AP119" s="72"/>
      <c r="AQ119" s="72"/>
      <c r="AR119" s="72"/>
      <c r="AS119" s="72"/>
      <c r="AT119" s="72"/>
      <c r="AU119" s="72"/>
      <c r="AV119" s="72"/>
      <c r="AW119" s="72"/>
    </row>
    <row r="120" spans="2:49" s="70" customFormat="1" x14ac:dyDescent="0.3">
      <c r="B120" s="70">
        <f>IF((TAN(P2*PI()/180)*((wide/2)-(16*59/12)))&gt;0,(TAN(P2*PI()/180)*((wide/2)-(16*59/12))),0)</f>
        <v>0</v>
      </c>
      <c r="C120" s="71" t="s">
        <v>355</v>
      </c>
      <c r="N120" s="70">
        <f>IF((TAN(P3*PI()/180)*(wide/2-(16*59/12)))&gt;0,(TAN(P3*PI()/180)*(wide/2-(16*59/12))),0)</f>
        <v>0</v>
      </c>
      <c r="O120" s="71" t="s">
        <v>356</v>
      </c>
      <c r="Y120" s="70">
        <f>IF((TAN(P2*PI()/180)*((wide/2)-(24*59/12)))&gt;0,(TAN(P2*PI()/180)*((wide/2)-(24*59/12))),0)</f>
        <v>0</v>
      </c>
      <c r="Z120" s="71" t="s">
        <v>357</v>
      </c>
      <c r="AG120" s="61"/>
      <c r="AH120" s="61"/>
      <c r="AI120" s="61"/>
      <c r="AJ120" s="61"/>
      <c r="AK120" s="61"/>
      <c r="AL120" s="61"/>
      <c r="AM120"/>
      <c r="AN120" s="86"/>
      <c r="AO120" s="72"/>
      <c r="AP120" s="72"/>
      <c r="AQ120" s="72"/>
      <c r="AR120" s="72"/>
      <c r="AS120" s="72"/>
      <c r="AT120" s="72"/>
      <c r="AU120" s="72"/>
      <c r="AV120" s="72"/>
      <c r="AW120" s="72"/>
    </row>
    <row r="121" spans="2:49" s="70" customFormat="1" x14ac:dyDescent="0.3">
      <c r="B121" s="70">
        <f>IF((TAN(P2*PI()/180)*((wide/2)-(16*60/12)))&gt;0,(TAN(P2*PI()/180)*((wide/2)-(16*60/12))),0)</f>
        <v>0</v>
      </c>
      <c r="C121" s="71" t="s">
        <v>358</v>
      </c>
      <c r="N121" s="70">
        <f>IF((TAN(P3*PI()/180)*(wide/2-(16*60/12)))&gt;0,(TAN(P3*PI()/180)*(wide/2-(16*60/12))),0)</f>
        <v>0</v>
      </c>
      <c r="O121" s="71" t="s">
        <v>359</v>
      </c>
      <c r="Y121" s="70">
        <f>IF((TAN(P2*PI()/180)*((wide/2)-(24*60/12)))&gt;0,(TAN(P2*PI()/180)*((wide/2)-(24*60/12))),0)</f>
        <v>0</v>
      </c>
      <c r="Z121" s="71" t="s">
        <v>360</v>
      </c>
      <c r="AG121" s="61"/>
      <c r="AH121" s="61"/>
      <c r="AI121" s="61"/>
      <c r="AJ121" s="61"/>
      <c r="AK121" s="61"/>
      <c r="AL121" s="61"/>
      <c r="AM121"/>
      <c r="AN121" s="86"/>
      <c r="AO121" s="72"/>
      <c r="AP121" s="72"/>
      <c r="AQ121" s="72"/>
      <c r="AR121" s="72"/>
      <c r="AS121" s="72"/>
      <c r="AT121" s="72"/>
      <c r="AU121" s="72"/>
      <c r="AV121" s="72"/>
      <c r="AW121" s="72"/>
    </row>
    <row r="122" spans="2:49" s="70" customFormat="1" x14ac:dyDescent="0.3">
      <c r="B122" s="70">
        <f>IF((TAN(P2*PI()/180)*((wide/2)-(16*61/12)))&gt;0,(TAN(P2*PI()/180)*((wide/2)-(16*61/12))),0)</f>
        <v>0</v>
      </c>
      <c r="C122" s="71" t="s">
        <v>361</v>
      </c>
      <c r="N122" s="70">
        <f>IF((TAN(P3*PI()/180)*(wide/2-(16*61/12)))&gt;0,(TAN(P3*PI()/180)*(wide/2-(16*61/12))),0)</f>
        <v>0</v>
      </c>
      <c r="O122" s="71" t="s">
        <v>362</v>
      </c>
      <c r="Y122" s="70">
        <f>IF((TAN(P2*PI()/180)*((wide/2)-(24*61/12)))&gt;0,(TAN(P2*PI()/180)*((wide/2)-(24*61/12))),0)</f>
        <v>0</v>
      </c>
      <c r="Z122" s="71" t="s">
        <v>363</v>
      </c>
      <c r="AG122" s="61"/>
      <c r="AH122" s="61"/>
      <c r="AI122" s="61"/>
      <c r="AJ122" s="61"/>
      <c r="AK122" s="61"/>
      <c r="AL122" s="61"/>
      <c r="AM122"/>
      <c r="AN122" s="86"/>
      <c r="AO122" s="72"/>
      <c r="AP122" s="72"/>
      <c r="AQ122" s="72"/>
      <c r="AR122" s="72"/>
      <c r="AS122" s="72"/>
      <c r="AT122" s="72"/>
      <c r="AU122" s="72"/>
      <c r="AV122" s="72"/>
      <c r="AW122" s="72"/>
    </row>
    <row r="123" spans="2:49" s="70" customFormat="1" x14ac:dyDescent="0.3">
      <c r="B123" s="70">
        <f>IF((TAN(P2*PI()/180)*((wide/2)-(16*62/12)))&gt;0,(TAN(P2*PI()/180)*((wide/2)-(16*62/12))),0)</f>
        <v>0</v>
      </c>
      <c r="C123" s="71" t="s">
        <v>364</v>
      </c>
      <c r="N123" s="70">
        <f>IF((TAN(P3*PI()/180)*(wide/2-(16*62/12)))&gt;0,(TAN(P3*PI()/180)*(wide/2-(16*62/12))),0)</f>
        <v>0</v>
      </c>
      <c r="O123" s="71" t="s">
        <v>365</v>
      </c>
      <c r="Y123" s="70">
        <f>IF((TAN(P2*PI()/180)*((wide/2)-(24*62/12)))&gt;0,(TAN(P2*PI()/180)*((wide/2)-(24*62/12))),0)</f>
        <v>0</v>
      </c>
      <c r="Z123" s="71" t="s">
        <v>366</v>
      </c>
      <c r="AG123" s="61"/>
      <c r="AH123" s="61"/>
      <c r="AI123" s="61"/>
      <c r="AJ123" s="61"/>
      <c r="AK123" s="61"/>
      <c r="AL123" s="61"/>
      <c r="AM123"/>
      <c r="AN123" s="86"/>
      <c r="AO123" s="72"/>
      <c r="AP123" s="72"/>
      <c r="AQ123" s="72"/>
      <c r="AR123" s="72"/>
      <c r="AS123" s="72"/>
      <c r="AT123" s="72"/>
      <c r="AU123" s="72"/>
      <c r="AV123" s="72"/>
      <c r="AW123" s="72"/>
    </row>
    <row r="124" spans="2:49" s="70" customFormat="1" x14ac:dyDescent="0.3">
      <c r="B124" s="70">
        <f>IF((TAN(P2*PI()/180)*((wide/2)-(16*63/12)))&gt;0,(TAN(P2*PI()/180)*((wide/2)-(16*63/12))),0)</f>
        <v>0</v>
      </c>
      <c r="C124" s="71" t="s">
        <v>367</v>
      </c>
      <c r="N124" s="70">
        <f>IF((TAN(P3*PI()/180)*(wide/2-(16*63/12)))&gt;0,(TAN(P3*PI()/180)*(wide/2-(16*63/12))),0)</f>
        <v>0</v>
      </c>
      <c r="O124" s="71" t="s">
        <v>368</v>
      </c>
      <c r="Y124" s="70">
        <f>IF((TAN(P2*PI()/180)*((wide/2)-(24*63/12)))&gt;0,(TAN(P2*PI()/180)*((wide/2)-(24*63/12))),0)</f>
        <v>0</v>
      </c>
      <c r="Z124" s="71" t="s">
        <v>369</v>
      </c>
      <c r="AG124" s="61"/>
      <c r="AH124" s="61"/>
      <c r="AI124" s="61"/>
      <c r="AJ124" s="61"/>
      <c r="AK124" s="61"/>
      <c r="AL124" s="61"/>
      <c r="AM124"/>
      <c r="AN124" s="86"/>
      <c r="AO124" s="72"/>
      <c r="AP124" s="72"/>
      <c r="AQ124" s="72"/>
      <c r="AR124" s="72"/>
      <c r="AS124" s="72"/>
      <c r="AT124" s="72"/>
      <c r="AU124" s="72"/>
      <c r="AV124" s="72"/>
      <c r="AW124" s="72"/>
    </row>
    <row r="125" spans="2:49" s="70" customFormat="1" x14ac:dyDescent="0.3">
      <c r="B125" s="70">
        <f>IF((TAN(P2*PI()/180)*((wide/2)-(16*64/12)))&gt;0,(TAN(P2*PI()/180)*((wide/2)-(16*64/12))),0)</f>
        <v>0</v>
      </c>
      <c r="C125" s="71" t="s">
        <v>370</v>
      </c>
      <c r="N125" s="70">
        <f>IF((TAN(P3*PI()/180)*(wide/2-(16*64/12)))&gt;0,(TAN(P3*PI()/180)*(wide/2-(16*64/12))),0)</f>
        <v>0</v>
      </c>
      <c r="O125" s="71" t="s">
        <v>371</v>
      </c>
      <c r="Y125" s="70">
        <f>IF((TAN(P2*PI()/180)*((wide/2)-(24*64/12)))&gt;0,(TAN(P2*PI()/180)*((wide/2)-(24*64/12))),0)</f>
        <v>0</v>
      </c>
      <c r="Z125" s="71" t="s">
        <v>372</v>
      </c>
      <c r="AG125" s="61"/>
      <c r="AH125" s="61"/>
      <c r="AI125" s="61"/>
      <c r="AJ125" s="61"/>
      <c r="AK125" s="61"/>
      <c r="AL125" s="61"/>
      <c r="AM125"/>
      <c r="AN125" s="86"/>
      <c r="AO125" s="72"/>
      <c r="AP125" s="72"/>
      <c r="AQ125" s="72"/>
      <c r="AR125" s="72"/>
      <c r="AS125" s="72"/>
      <c r="AT125" s="72"/>
      <c r="AU125" s="72"/>
      <c r="AV125" s="72"/>
      <c r="AW125" s="72"/>
    </row>
    <row r="126" spans="2:49" s="70" customFormat="1" x14ac:dyDescent="0.3">
      <c r="B126" s="70">
        <f>IF((TAN(P2*PI()/180)*((wide/2)-(16*65/12)))&gt;0,(TAN(P2*PI()/180)*((wide/2)-(16*65/12))),0)</f>
        <v>0</v>
      </c>
      <c r="C126" s="71" t="s">
        <v>373</v>
      </c>
      <c r="N126" s="70">
        <f>IF((TAN(P3*PI()/180)*(wide/2-(16*65/12)))&gt;0,(TAN(P3*PI()/180)*(wide/2-(16*65/12))),0)</f>
        <v>0</v>
      </c>
      <c r="O126" s="71" t="s">
        <v>374</v>
      </c>
      <c r="Y126" s="70">
        <f>IF((TAN(P2*PI()/180)*((wide/2)-(24*65/12)))&gt;0,(TAN(P2*PI()/180)*((wide/2)-(24*65/12))),0)</f>
        <v>0</v>
      </c>
      <c r="Z126" s="71" t="s">
        <v>375</v>
      </c>
      <c r="AG126" s="61"/>
      <c r="AH126" s="61"/>
      <c r="AI126" s="61"/>
      <c r="AJ126" s="61"/>
      <c r="AK126" s="61"/>
      <c r="AL126" s="61"/>
      <c r="AM126"/>
      <c r="AN126" s="86"/>
      <c r="AO126" s="72"/>
      <c r="AP126" s="72"/>
      <c r="AQ126" s="72"/>
      <c r="AR126" s="72"/>
      <c r="AS126" s="72"/>
      <c r="AT126" s="72"/>
      <c r="AU126" s="72"/>
      <c r="AV126" s="72"/>
      <c r="AW126" s="72"/>
    </row>
    <row r="127" spans="2:49" s="70" customFormat="1" x14ac:dyDescent="0.3">
      <c r="B127" s="70">
        <f>IF((TAN(P2*PI()/180)*((wide/2)-(16*66/12)))&gt;0,(TAN(P2*PI()/180)*((wide/2)-(16*66/12))),0)</f>
        <v>0</v>
      </c>
      <c r="C127" s="71" t="s">
        <v>376</v>
      </c>
      <c r="N127" s="70">
        <f>IF((TAN(P3*PI()/180)*(wide/2-(16*66/12)))&gt;0,(TAN(P3*PI()/180)*(wide/2-(16*66/12))),0)</f>
        <v>0</v>
      </c>
      <c r="O127" s="71" t="s">
        <v>377</v>
      </c>
      <c r="Y127" s="70">
        <f>IF((TAN(P2*PI()/180)*((wide/2)-(24*66/12)))&gt;0,(TAN(P2*PI()/180)*((wide/2)-(24*66/12))),0)</f>
        <v>0</v>
      </c>
      <c r="Z127" s="71" t="s">
        <v>378</v>
      </c>
      <c r="AG127" s="61"/>
      <c r="AH127" s="61"/>
      <c r="AI127" s="61"/>
      <c r="AJ127" s="61"/>
      <c r="AK127" s="61"/>
      <c r="AL127" s="61"/>
      <c r="AM127"/>
      <c r="AN127" s="86"/>
      <c r="AO127" s="72"/>
      <c r="AP127" s="72"/>
      <c r="AQ127" s="72"/>
      <c r="AR127" s="72"/>
      <c r="AS127" s="72"/>
      <c r="AT127" s="72"/>
      <c r="AU127" s="72"/>
      <c r="AV127" s="72"/>
      <c r="AW127" s="72"/>
    </row>
    <row r="128" spans="2:49" s="70" customFormat="1" x14ac:dyDescent="0.3">
      <c r="B128" s="70">
        <f>IF((TAN(P2*PI()/180)*((wide/2)-(16*67/12)))&gt;0,(TAN(P2*PI()/180)*((wide/2)-(16*67/12))),0)</f>
        <v>0</v>
      </c>
      <c r="C128" s="71" t="s">
        <v>379</v>
      </c>
      <c r="N128" s="70">
        <f>IF((TAN(P3*PI()/180)*(wide/2-(16*67/12)))&gt;0,(TAN(P3*PI()/180)*(wide/2-(16*67/12))),0)</f>
        <v>0</v>
      </c>
      <c r="O128" s="71" t="s">
        <v>380</v>
      </c>
      <c r="Y128" s="70">
        <f>IF((TAN(P2*PI()/180)*((wide/2)-(24*67/12)))&gt;0,(TAN(P2*PI()/180)*((wide/2)-(24*67/12))),0)</f>
        <v>0</v>
      </c>
      <c r="Z128" s="71" t="s">
        <v>381</v>
      </c>
      <c r="AG128" s="61"/>
      <c r="AH128" s="61"/>
      <c r="AI128" s="61"/>
      <c r="AJ128" s="61"/>
      <c r="AK128" s="61"/>
      <c r="AL128" s="61"/>
      <c r="AM128"/>
      <c r="AN128" s="86"/>
      <c r="AO128" s="72"/>
      <c r="AP128" s="72"/>
      <c r="AQ128" s="72"/>
      <c r="AR128" s="72"/>
      <c r="AS128" s="72"/>
      <c r="AT128" s="72"/>
      <c r="AU128" s="72"/>
      <c r="AV128" s="72"/>
      <c r="AW128" s="72"/>
    </row>
    <row r="129" spans="2:49" s="70" customFormat="1" x14ac:dyDescent="0.3">
      <c r="B129" s="70">
        <f>IF((TAN(P2*PI()/180)*((wide/2)-(16*68/12)))&gt;0,(TAN(P2*PI()/180)*((wide/2)-(16*68/12))),0)</f>
        <v>0</v>
      </c>
      <c r="C129" s="71" t="s">
        <v>382</v>
      </c>
      <c r="N129" s="70">
        <f>IF((TAN(P3*PI()/180)*(wide/2-(16*68/12)))&gt;0,(TAN(P3*PI()/180)*(wide/2-(16*68/12))),0)</f>
        <v>0</v>
      </c>
      <c r="O129" s="71" t="s">
        <v>383</v>
      </c>
      <c r="Y129" s="70">
        <f>IF((TAN(P2*PI()/180)*((wide/2)-(24*68/12)))&gt;0,(TAN(P2*PI()/180)*((wide/2)-(24*68/12))),0)</f>
        <v>0</v>
      </c>
      <c r="Z129" s="71" t="s">
        <v>384</v>
      </c>
      <c r="AG129" s="61"/>
      <c r="AH129" s="61"/>
      <c r="AI129" s="61"/>
      <c r="AJ129" s="61"/>
      <c r="AK129" s="61"/>
      <c r="AL129" s="61"/>
      <c r="AM129"/>
      <c r="AN129" s="86"/>
      <c r="AO129" s="72"/>
      <c r="AP129" s="72"/>
      <c r="AQ129" s="72"/>
      <c r="AR129" s="72"/>
      <c r="AS129" s="72"/>
      <c r="AT129" s="72"/>
      <c r="AU129" s="72"/>
      <c r="AV129" s="72"/>
      <c r="AW129" s="72"/>
    </row>
    <row r="130" spans="2:49" s="70" customFormat="1" x14ac:dyDescent="0.3">
      <c r="B130" s="70">
        <f>IF((TAN(P2*PI()/180)*((wide/2)-(16*69/12)))&gt;0,(TAN(P2*PI()/180)*((wide/2)-(16*69/12))),0)</f>
        <v>0</v>
      </c>
      <c r="C130" s="71" t="s">
        <v>385</v>
      </c>
      <c r="N130" s="70">
        <f>IF((TAN(P3*PI()/180)*(wide/2-(16*69/12)))&gt;0,(TAN(P3*PI()/180)*(wide/2-(16*69/12))),0)</f>
        <v>0</v>
      </c>
      <c r="O130" s="71" t="s">
        <v>386</v>
      </c>
      <c r="Y130" s="70">
        <f>IF((TAN(P2*PI()/180)*((wide/2)-(24*69/12)))&gt;0,(TAN(P2*PI()/180)*((wide/2)-(24*69/12))),0)</f>
        <v>0</v>
      </c>
      <c r="Z130" s="71" t="s">
        <v>387</v>
      </c>
      <c r="AG130" s="61"/>
      <c r="AH130" s="61"/>
      <c r="AI130" s="61"/>
      <c r="AJ130" s="61"/>
      <c r="AK130" s="33"/>
      <c r="AL130" s="33"/>
      <c r="AM130"/>
      <c r="AN130" s="86"/>
      <c r="AO130" s="72"/>
      <c r="AP130" s="72"/>
      <c r="AQ130" s="72"/>
      <c r="AR130" s="72"/>
      <c r="AS130" s="72"/>
      <c r="AT130" s="72"/>
      <c r="AU130" s="72"/>
      <c r="AV130" s="72"/>
      <c r="AW130" s="72"/>
    </row>
    <row r="131" spans="2:49" s="70" customFormat="1" x14ac:dyDescent="0.3">
      <c r="B131" s="70">
        <f>IF((TAN(P2*PI()/180)*((wide/2)-(16*70/12)))&gt;0,(TAN(P2*PI()/180)*((wide/2)-(16*70/12))),0)</f>
        <v>0</v>
      </c>
      <c r="C131" s="71" t="s">
        <v>388</v>
      </c>
      <c r="N131" s="70">
        <f>IF((TAN(P3*PI()/180)*(wide/2-(16*70/12)))&gt;0,(TAN(P3*PI()/180)*(wide/2-(16*70/12))),0)</f>
        <v>0</v>
      </c>
      <c r="O131" s="71" t="s">
        <v>389</v>
      </c>
      <c r="Y131" s="70">
        <f>IF((TAN(P2*PI()/180)*((wide/2)-(24*70/12)))&gt;0,(TAN(P2*PI()/180)*((wide/2)-(24*70/12))),0)</f>
        <v>0</v>
      </c>
      <c r="Z131" s="71" t="s">
        <v>390</v>
      </c>
      <c r="AG131" s="61"/>
      <c r="AH131" s="61"/>
      <c r="AI131" s="61"/>
      <c r="AJ131" s="61"/>
      <c r="AK131" s="61"/>
      <c r="AL131" s="61"/>
      <c r="AM131"/>
      <c r="AN131" s="86"/>
      <c r="AO131" s="72"/>
      <c r="AP131" s="72"/>
      <c r="AQ131" s="72"/>
      <c r="AR131" s="72"/>
      <c r="AS131" s="72"/>
      <c r="AT131" s="72"/>
      <c r="AU131" s="72"/>
      <c r="AV131" s="72"/>
      <c r="AW131" s="72"/>
    </row>
    <row r="132" spans="2:49" s="70" customFormat="1" x14ac:dyDescent="0.3">
      <c r="B132" s="70">
        <f>IF((TAN(P2*PI()/180)*((wide/2)-(16*71/12)))&gt;0,(TAN(P2*PI()/180)*((wide/2)-(16*71/12))),0)</f>
        <v>0</v>
      </c>
      <c r="C132" s="71" t="s">
        <v>391</v>
      </c>
      <c r="N132" s="70">
        <f>IF((TAN(P3*PI()/180)*(wide/2-(16*71/12)))&gt;0,(TAN(P3*PI()/180)*(wide/2-(16*71/12))),0)</f>
        <v>0</v>
      </c>
      <c r="O132" s="71" t="s">
        <v>392</v>
      </c>
      <c r="Y132" s="70">
        <f>IF((TAN(P2*PI()/180)*((wide/2)-(24*71/12)))&gt;0,(TAN(P2*PI()/180)*((wide/2)-(24*71/12))),0)</f>
        <v>0</v>
      </c>
      <c r="Z132" s="71" t="s">
        <v>393</v>
      </c>
      <c r="AG132" s="33"/>
      <c r="AH132" s="33"/>
      <c r="AI132" s="33"/>
      <c r="AJ132" s="33"/>
      <c r="AK132" s="61"/>
      <c r="AL132" s="61"/>
      <c r="AM132"/>
      <c r="AN132" s="86"/>
      <c r="AO132" s="72"/>
      <c r="AP132" s="72"/>
      <c r="AQ132" s="72"/>
      <c r="AR132" s="72"/>
      <c r="AS132" s="72"/>
      <c r="AT132" s="72"/>
      <c r="AU132" s="72"/>
      <c r="AV132" s="72"/>
      <c r="AW132" s="72"/>
    </row>
    <row r="133" spans="2:49" s="70" customFormat="1" x14ac:dyDescent="0.3">
      <c r="B133" s="70">
        <f>IF((TAN(P2*PI()/180)*((wide/2)-(16*72/12)))&gt;0,(TAN(P2*PI()/180)*((wide/2)-(16*72/12))),0)</f>
        <v>0</v>
      </c>
      <c r="C133" s="71" t="s">
        <v>394</v>
      </c>
      <c r="N133" s="70">
        <f>IF((TAN(P3*PI()/180)*(wide/2-(16*72/12)))&gt;0,(TAN(P3*PI()/180)*(wide/2-(16*72/12))),0)</f>
        <v>0</v>
      </c>
      <c r="O133" s="71" t="s">
        <v>395</v>
      </c>
      <c r="Y133" s="70">
        <f>IF((TAN(P2*PI()/180)*((wide/2)-(24*72/12)))&gt;0,(TAN(P2*PI()/180)*((wide/2)-(24*72/12))),0)</f>
        <v>0</v>
      </c>
      <c r="Z133" s="71" t="s">
        <v>396</v>
      </c>
      <c r="AG133" s="61"/>
      <c r="AH133" s="61"/>
      <c r="AI133" s="61"/>
      <c r="AJ133" s="61"/>
      <c r="AK133" s="61"/>
      <c r="AL133" s="61"/>
      <c r="AM133"/>
      <c r="AN133" s="86"/>
      <c r="AO133" s="72"/>
      <c r="AP133" s="72"/>
      <c r="AQ133" s="72"/>
      <c r="AR133" s="72"/>
      <c r="AS133" s="72"/>
      <c r="AT133" s="72"/>
      <c r="AU133" s="72"/>
      <c r="AV133" s="72"/>
      <c r="AW133" s="72"/>
    </row>
    <row r="134" spans="2:49" s="70" customFormat="1" x14ac:dyDescent="0.3">
      <c r="B134" s="70">
        <f>IF((TAN(P2*PI()/180)*((wide/2)-(16*73/12)))&gt;0,(TAN(P2*PI()/180)*((wide/2)-(16*73/12))),0)</f>
        <v>0</v>
      </c>
      <c r="C134" s="71" t="s">
        <v>397</v>
      </c>
      <c r="N134" s="70">
        <f>IF((TAN(P3*PI()/180)*(wide/2-(16*73/12)))&gt;0,(TAN(P3*PI()/180)*(wide/2-(16*73/12))),0)</f>
        <v>0</v>
      </c>
      <c r="O134" s="71" t="s">
        <v>398</v>
      </c>
      <c r="Y134" s="70">
        <f>IF((TAN(P2*PI()/180)*((wide/2)-(24*73/12)))&gt;0,(TAN(P2*PI()/180)*((wide/2)-(24*73/12))),0)</f>
        <v>0</v>
      </c>
      <c r="Z134" s="71" t="s">
        <v>399</v>
      </c>
      <c r="AG134" s="61"/>
      <c r="AH134" s="61"/>
      <c r="AI134" s="61"/>
      <c r="AJ134" s="61"/>
      <c r="AK134" s="61"/>
      <c r="AL134" s="61"/>
      <c r="AM134"/>
      <c r="AN134" s="86"/>
      <c r="AO134" s="72"/>
      <c r="AP134" s="72"/>
      <c r="AQ134" s="72"/>
      <c r="AR134" s="72"/>
      <c r="AS134" s="72"/>
      <c r="AT134" s="72"/>
      <c r="AU134" s="72"/>
      <c r="AV134" s="72"/>
      <c r="AW134" s="72"/>
    </row>
    <row r="135" spans="2:49" s="70" customFormat="1" x14ac:dyDescent="0.3">
      <c r="B135" s="70">
        <f>IF((TAN(P2*PI()/180)*((wide/2)-(16*74/12)))&gt;0,(TAN(P2*PI()/180)*((wide/2)-(16*74/12))),0)</f>
        <v>0</v>
      </c>
      <c r="C135" s="71" t="s">
        <v>400</v>
      </c>
      <c r="N135" s="70">
        <f>IF((TAN(P3*PI()/180)*(wide/2-(16*74/12)))&gt;0,(TAN(P3*PI()/180)*(wide/2-(16*74/12))),0)</f>
        <v>0</v>
      </c>
      <c r="O135" s="71" t="s">
        <v>401</v>
      </c>
      <c r="Y135" s="70">
        <f>IF((TAN(P2*PI()/180)*((wide/2)-(24*74/12)))&gt;0,(TAN(P2*PI()/180)*((wide/2)-(24*74/12))),0)</f>
        <v>0</v>
      </c>
      <c r="Z135" s="71" t="s">
        <v>402</v>
      </c>
      <c r="AG135" s="61"/>
      <c r="AH135" s="61"/>
      <c r="AI135" s="61"/>
      <c r="AJ135" s="61"/>
      <c r="AK135" s="61"/>
      <c r="AL135" s="61"/>
      <c r="AM135"/>
      <c r="AN135" s="86"/>
      <c r="AO135" s="72"/>
      <c r="AP135" s="72"/>
      <c r="AQ135" s="72"/>
      <c r="AR135" s="72"/>
      <c r="AS135" s="72"/>
      <c r="AT135" s="72"/>
      <c r="AU135" s="72"/>
      <c r="AV135" s="72"/>
      <c r="AW135" s="72"/>
    </row>
    <row r="136" spans="2:49" s="70" customFormat="1" x14ac:dyDescent="0.3">
      <c r="B136" s="70">
        <f>IF((TAN(P2*PI()/180)*((wide/2)-(16*75/12)))&gt;0,(TAN(P2*PI()/180)*((wide/2)-(16*75/12))),0)</f>
        <v>0</v>
      </c>
      <c r="C136" s="71" t="s">
        <v>403</v>
      </c>
      <c r="N136" s="70">
        <f>IF((TAN(P3*PI()/180)*(wide/2-(16*75/12)))&gt;0,(TAN(P3*PI()/180)*(wide/2-(16*75/12))),0)</f>
        <v>0</v>
      </c>
      <c r="O136" s="71" t="s">
        <v>404</v>
      </c>
      <c r="Y136" s="70">
        <f>IF((TAN(P2*PI()/180)*((wide/2)-(24*75/12)))&gt;0,(TAN(P2*PI()/180)*((wide/2)-(24*75/12))),0)</f>
        <v>0</v>
      </c>
      <c r="Z136" s="71" t="s">
        <v>405</v>
      </c>
      <c r="AG136" s="61"/>
      <c r="AH136" s="61"/>
      <c r="AI136" s="61"/>
      <c r="AJ136" s="61"/>
      <c r="AK136" s="61"/>
      <c r="AL136" s="61"/>
      <c r="AM136"/>
      <c r="AN136" s="86"/>
      <c r="AO136" s="72"/>
      <c r="AP136" s="72"/>
      <c r="AQ136" s="72"/>
      <c r="AR136" s="72"/>
      <c r="AS136" s="72"/>
      <c r="AT136" s="72"/>
      <c r="AU136" s="72"/>
      <c r="AV136" s="72"/>
      <c r="AW136" s="72"/>
    </row>
    <row r="137" spans="2:49" s="70" customFormat="1" x14ac:dyDescent="0.3">
      <c r="B137" s="70">
        <f>IF((TAN(P2*PI()/180)*((wide/2)-(16*76/12)))&gt;0,(TAN(P2*PI()/180)*((wide/2)-(16*76/12))),0)</f>
        <v>0</v>
      </c>
      <c r="C137" s="71" t="s">
        <v>406</v>
      </c>
      <c r="N137" s="70">
        <f>IF((TAN(P3*PI()/180)*(wide/2-(16*76/12)))&gt;0,(TAN(P3*PI()/180)*(wide/2-(16*76/12))),0)</f>
        <v>0</v>
      </c>
      <c r="O137" s="71" t="s">
        <v>407</v>
      </c>
      <c r="Y137" s="70">
        <f>IF((TAN(P2*PI()/180)*((wide/2)-(24*76/12)))&gt;0,(TAN(P2*PI()/180)*((wide/2)-(24*76/12))),0)</f>
        <v>0</v>
      </c>
      <c r="Z137" s="71" t="s">
        <v>408</v>
      </c>
      <c r="AG137" s="61"/>
      <c r="AH137" s="61"/>
      <c r="AI137" s="61"/>
      <c r="AJ137" s="61"/>
      <c r="AK137" s="61"/>
      <c r="AL137" s="61"/>
      <c r="AM137"/>
      <c r="AN137" s="86"/>
      <c r="AO137" s="72"/>
      <c r="AP137" s="72"/>
      <c r="AQ137" s="72"/>
      <c r="AR137" s="72"/>
      <c r="AS137" s="72"/>
      <c r="AT137" s="72"/>
      <c r="AU137" s="72"/>
      <c r="AV137" s="72"/>
      <c r="AW137" s="72"/>
    </row>
    <row r="138" spans="2:49" s="70" customFormat="1" x14ac:dyDescent="0.3">
      <c r="B138" s="70">
        <f>IF((TAN(P2*PI()/180)*((wide/2)-(16*77/12)))&gt;0,(TAN(P2*PI()/180)*((wide/2)-(16*77/12))),0)</f>
        <v>0</v>
      </c>
      <c r="C138" s="71" t="s">
        <v>409</v>
      </c>
      <c r="N138" s="70">
        <f>IF((TAN(P3*PI()/180)*(wide/2-(16*77/12)))&gt;0,(TAN(P3*PI()/180)*(wide/2-(16*77/12))),0)</f>
        <v>0</v>
      </c>
      <c r="O138" s="71" t="s">
        <v>410</v>
      </c>
      <c r="Y138" s="70">
        <f>IF((TAN(P2*PI()/180)*((wide/2)-(24*77/12)))&gt;0,(TAN(P2*PI()/180)*((wide/2)-(24*77/12))),0)</f>
        <v>0</v>
      </c>
      <c r="Z138" s="71" t="s">
        <v>411</v>
      </c>
      <c r="AG138" s="61"/>
      <c r="AH138" s="61"/>
      <c r="AI138" s="61"/>
      <c r="AJ138" s="61"/>
      <c r="AK138"/>
      <c r="AL138"/>
      <c r="AM138"/>
      <c r="AN138" s="86"/>
      <c r="AO138" s="72"/>
      <c r="AP138" s="72"/>
      <c r="AQ138" s="72"/>
      <c r="AR138" s="72"/>
      <c r="AS138" s="72"/>
      <c r="AT138" s="72"/>
      <c r="AU138" s="72"/>
      <c r="AV138" s="72"/>
      <c r="AW138" s="72"/>
    </row>
    <row r="139" spans="2:49" s="70" customFormat="1" x14ac:dyDescent="0.3">
      <c r="B139" s="70">
        <f>IF((TAN(P2*PI()/180)*((wide/2)-(16*78/12)))&gt;0,(TAN(P2*PI()/180)*((wide/2)-(16*78/12))),0)</f>
        <v>0</v>
      </c>
      <c r="C139" s="71" t="s">
        <v>412</v>
      </c>
      <c r="N139" s="70">
        <f>IF((TAN(P3*PI()/180)*(wide/2-(16*78/12)))&gt;0,(TAN(P3*PI()/180)*(wide/2-(16*78/12))),0)</f>
        <v>0</v>
      </c>
      <c r="O139" s="71" t="s">
        <v>413</v>
      </c>
      <c r="Y139" s="70">
        <f>IF((TAN(P2*PI()/180)*((wide/2)-(24*78/12)))&gt;0,(TAN(P2*PI()/180)*((wide/2)-(24*78/12))),0)</f>
        <v>0</v>
      </c>
      <c r="Z139" s="71" t="s">
        <v>414</v>
      </c>
      <c r="AG139" s="61"/>
      <c r="AH139" s="61"/>
      <c r="AI139" s="61"/>
      <c r="AJ139" s="61"/>
      <c r="AK139"/>
      <c r="AL139"/>
      <c r="AM139"/>
      <c r="AN139" s="86"/>
      <c r="AO139" s="72"/>
      <c r="AP139" s="72"/>
      <c r="AQ139" s="72"/>
      <c r="AR139" s="72"/>
      <c r="AS139" s="72"/>
      <c r="AT139" s="72"/>
      <c r="AU139" s="72"/>
      <c r="AV139" s="72"/>
      <c r="AW139" s="72"/>
    </row>
    <row r="140" spans="2:49" s="70" customFormat="1" x14ac:dyDescent="0.3">
      <c r="B140" s="70">
        <f>IF((TAN(P2*PI()/180)*((wide/2)-(16*79/12)))&gt;0,(TAN(P2*PI()/180)*((wide/2)-(16*79/12))),0)</f>
        <v>0</v>
      </c>
      <c r="C140" s="71" t="s">
        <v>415</v>
      </c>
      <c r="N140" s="70">
        <f>IF((TAN(P3*PI()/180)*(wide/2-(16*79/12)))&gt;0,(TAN(P3*PI()/180)*(wide/2-(16*79/12))),0)</f>
        <v>0</v>
      </c>
      <c r="O140" s="71" t="s">
        <v>416</v>
      </c>
      <c r="Y140" s="70">
        <f>IF((TAN(P2*PI()/180)*((wide/2)-(24*79/12)))&gt;0,(TAN(P2*PI()/180)*((wide/2)-(24*79/12))),0)</f>
        <v>0</v>
      </c>
      <c r="Z140" s="71" t="s">
        <v>417</v>
      </c>
      <c r="AG140"/>
      <c r="AH140"/>
      <c r="AI140"/>
      <c r="AJ140"/>
      <c r="AK140"/>
      <c r="AL140"/>
      <c r="AM140"/>
      <c r="AN140" s="86"/>
      <c r="AO140" s="72"/>
      <c r="AP140" s="72"/>
      <c r="AQ140" s="72"/>
      <c r="AR140" s="72"/>
      <c r="AS140" s="72"/>
      <c r="AT140" s="72"/>
      <c r="AU140" s="72"/>
      <c r="AV140" s="72"/>
      <c r="AW140" s="72"/>
    </row>
    <row r="141" spans="2:49" s="70" customFormat="1" x14ac:dyDescent="0.3">
      <c r="B141" s="70">
        <f>IF((TAN(P2*PI()/180)*((wide/2)-(16*80/12)))&gt;0,(TAN(P2*PI()/180)*((wide/2)-(16*80/12))),0)</f>
        <v>0</v>
      </c>
      <c r="C141" s="71" t="s">
        <v>418</v>
      </c>
      <c r="N141" s="70">
        <f>IF((TAN(P3*PI()/180)*(wide/2-(16*80/12)))&gt;0,(TAN(P3*PI()/180)*(wide/2-(16*80/12))),0)</f>
        <v>0</v>
      </c>
      <c r="O141" s="71" t="s">
        <v>419</v>
      </c>
      <c r="Y141" s="70">
        <f>IF((TAN(P2*PI()/180)*((wide/2)-(24*80/12)))&gt;0,(TAN(P2*PI()/180)*((wide/2)-(24*80/12))),0)</f>
        <v>0</v>
      </c>
      <c r="Z141" s="71" t="s">
        <v>420</v>
      </c>
      <c r="AG141"/>
      <c r="AH141"/>
      <c r="AI141"/>
      <c r="AJ141"/>
      <c r="AK141"/>
      <c r="AL141"/>
      <c r="AM141"/>
      <c r="AN141" s="86"/>
      <c r="AO141" s="72"/>
      <c r="AP141" s="72"/>
      <c r="AQ141" s="72"/>
      <c r="AR141" s="72"/>
      <c r="AS141" s="72"/>
      <c r="AT141" s="72"/>
      <c r="AU141" s="72"/>
      <c r="AV141" s="72"/>
      <c r="AW141" s="72"/>
    </row>
    <row r="142" spans="2:49" s="70" customFormat="1" x14ac:dyDescent="0.3">
      <c r="B142" s="70">
        <f>IF((TAN(P2*PI()/180)*((wide/2)-(16*81/12)))&gt;0,(TAN(P2*PI()/180)*((wide/2)-(16*81/12))),0)</f>
        <v>0</v>
      </c>
      <c r="C142" s="71" t="s">
        <v>421</v>
      </c>
      <c r="N142" s="70">
        <f>IF((TAN(P3*PI()/180)*(wide/2-(16*81/12)))&gt;0,(TAN(P3*PI()/180)*(wide/2-(16*81/12))),0)</f>
        <v>0</v>
      </c>
      <c r="O142" s="71" t="s">
        <v>422</v>
      </c>
      <c r="Y142" s="70">
        <f>IF((TAN(P2*PI()/180)*((wide/2)-(24*81/12)))&gt;0,(TAN(P2*PI()/180)*((wide/2)-(24*81/12))),0)</f>
        <v>0</v>
      </c>
      <c r="Z142" s="71" t="s">
        <v>423</v>
      </c>
      <c r="AG142"/>
      <c r="AH142"/>
      <c r="AI142"/>
      <c r="AJ142"/>
      <c r="AK142"/>
      <c r="AL142"/>
      <c r="AM142"/>
      <c r="AN142" s="86"/>
      <c r="AO142" s="72"/>
      <c r="AP142" s="72"/>
      <c r="AQ142" s="72"/>
      <c r="AR142" s="72"/>
      <c r="AS142" s="72"/>
      <c r="AT142" s="72"/>
      <c r="AU142" s="72"/>
      <c r="AV142" s="72"/>
      <c r="AW142" s="72"/>
    </row>
    <row r="143" spans="2:49" s="70" customFormat="1" x14ac:dyDescent="0.3">
      <c r="B143" s="70">
        <f>IF((TAN(P2*PI()/180)*((wide/2)-(16*82/12)))&gt;0,(TAN(P2*PI()/180)*((wide/2)-(16*82/12))),0)</f>
        <v>0</v>
      </c>
      <c r="C143" s="71" t="s">
        <v>424</v>
      </c>
      <c r="N143" s="70">
        <f>IF((TAN(P3*PI()/180)*(wide/2-(16*82/12)))&gt;0,(TAN(P3*PI()/180)*(wide/2-(16*82/12))),0)</f>
        <v>0</v>
      </c>
      <c r="O143" s="71" t="s">
        <v>425</v>
      </c>
      <c r="Y143" s="70">
        <f>IF((TAN(P2*PI()/180)*((wide/2)-(24*82/12)))&gt;0,(TAN(P2*PI()/180)*((wide/2)-(24*82/12))),0)</f>
        <v>0</v>
      </c>
      <c r="Z143" s="71" t="s">
        <v>426</v>
      </c>
      <c r="AG143"/>
      <c r="AH143"/>
      <c r="AI143"/>
      <c r="AJ143"/>
      <c r="AK143"/>
      <c r="AL143"/>
      <c r="AM143"/>
      <c r="AN143" s="86"/>
      <c r="AO143" s="72"/>
      <c r="AP143" s="72"/>
      <c r="AQ143" s="72"/>
      <c r="AR143" s="72"/>
      <c r="AS143" s="72"/>
      <c r="AT143" s="72"/>
      <c r="AU143" s="72"/>
      <c r="AV143" s="72"/>
      <c r="AW143" s="72"/>
    </row>
    <row r="144" spans="2:49" s="70" customFormat="1" x14ac:dyDescent="0.3">
      <c r="B144" s="70">
        <f>IF((TAN(P2*PI()/180)*((wide/2)-(16*83/12)))&gt;0,(TAN(P2*PI()/180)*((wide/2)-(16*83/12))),0)</f>
        <v>0</v>
      </c>
      <c r="C144" s="71" t="s">
        <v>427</v>
      </c>
      <c r="N144" s="70">
        <f>IF((TAN(P3*PI()/180)*(wide/2-(16*83/12)))&gt;0,(TAN(P3*PI()/180)*(wide/2-(16*83/12))),0)</f>
        <v>0</v>
      </c>
      <c r="O144" s="71" t="s">
        <v>428</v>
      </c>
      <c r="Y144" s="70">
        <f>IF((TAN(P2*PI()/180)*((wide/2)-(24*83/12)))&gt;0,(TAN(P2*PI()/180)*((wide/2)-(24*83/12))),0)</f>
        <v>0</v>
      </c>
      <c r="Z144" s="71" t="s">
        <v>429</v>
      </c>
      <c r="AG144"/>
      <c r="AH144"/>
      <c r="AI144"/>
      <c r="AJ144"/>
      <c r="AK144"/>
      <c r="AL144"/>
      <c r="AM144"/>
      <c r="AN144" s="86"/>
      <c r="AO144" s="72"/>
      <c r="AP144" s="72"/>
      <c r="AQ144" s="72"/>
      <c r="AR144" s="72"/>
      <c r="AS144" s="72"/>
      <c r="AT144" s="72"/>
      <c r="AU144" s="72"/>
      <c r="AV144" s="72"/>
      <c r="AW144" s="72"/>
    </row>
    <row r="145" spans="2:49" s="70" customFormat="1" x14ac:dyDescent="0.3">
      <c r="B145" s="70">
        <f>IF((TAN(P2*PI()/180)*((wide/2)-(16*84/12)))&gt;0,(TAN(P2*PI()/180)*((wide/2)-(16*84/12))),0)</f>
        <v>0</v>
      </c>
      <c r="C145" s="71" t="s">
        <v>430</v>
      </c>
      <c r="N145" s="70">
        <f>IF((TAN(P3*PI()/180)*(wide/2-(16*84/12)))&gt;0,(TAN(P3*PI()/180)*(wide/2-(16*84/12))),0)</f>
        <v>0</v>
      </c>
      <c r="O145" s="71" t="s">
        <v>431</v>
      </c>
      <c r="Y145" s="70">
        <f>IF((TAN(P2*PI()/180)*((wide/2)-(24*84/12)))&gt;0,(TAN(P2*PI()/180)*((wide/2)-(24*84/12))),0)</f>
        <v>0</v>
      </c>
      <c r="Z145" s="71" t="s">
        <v>432</v>
      </c>
      <c r="AG145"/>
      <c r="AH145"/>
      <c r="AI145"/>
      <c r="AJ145"/>
      <c r="AK145"/>
      <c r="AL145"/>
      <c r="AM145"/>
      <c r="AN145" s="86"/>
      <c r="AO145" s="72"/>
      <c r="AP145" s="72"/>
      <c r="AQ145" s="72"/>
      <c r="AR145" s="72"/>
      <c r="AS145" s="72"/>
      <c r="AT145" s="72"/>
      <c r="AU145" s="72"/>
      <c r="AV145" s="72"/>
      <c r="AW145" s="72"/>
    </row>
    <row r="146" spans="2:49" s="70" customFormat="1" x14ac:dyDescent="0.3">
      <c r="B146" s="70">
        <f>IF((TAN(P2*PI()/180)*((wide/2)-(16*85/12)))&gt;0,(TAN(P2*PI()/180)*((wide/2)-(16*85/12))),0)</f>
        <v>0</v>
      </c>
      <c r="C146" s="71" t="s">
        <v>433</v>
      </c>
      <c r="N146" s="70">
        <f>IF((TAN(P3*PI()/180)*(wide/2-(16*85/12)))&gt;0,(TAN(P3*PI()/180)*(wide/2-(16*85/12))),0)</f>
        <v>0</v>
      </c>
      <c r="O146" s="71" t="s">
        <v>434</v>
      </c>
      <c r="Y146" s="70">
        <f>IF((TAN(P2*PI()/180)*((wide/2)-(24*85/12)))&gt;0,(TAN(P2*PI()/180)*((wide/2)-(24*85/12))),0)</f>
        <v>0</v>
      </c>
      <c r="Z146" s="71" t="s">
        <v>435</v>
      </c>
      <c r="AG146"/>
      <c r="AH146"/>
      <c r="AI146"/>
      <c r="AJ146"/>
      <c r="AK146"/>
      <c r="AL146"/>
      <c r="AM146"/>
      <c r="AN146" s="86"/>
      <c r="AO146" s="72"/>
      <c r="AP146" s="72"/>
      <c r="AQ146" s="72"/>
      <c r="AR146" s="72"/>
      <c r="AS146" s="72"/>
      <c r="AT146" s="72"/>
      <c r="AU146" s="72"/>
      <c r="AV146" s="72"/>
      <c r="AW146" s="72"/>
    </row>
    <row r="147" spans="2:49" s="70" customFormat="1" x14ac:dyDescent="0.3">
      <c r="B147" s="70">
        <f>IF((TAN(P2*PI()/180)*((wide/2)-(16*86/12)))&gt;0,(TAN(P2*PI()/180)*((wide/2)-(16*86/12))),0)</f>
        <v>0</v>
      </c>
      <c r="C147" s="71" t="s">
        <v>436</v>
      </c>
      <c r="N147" s="70">
        <f>IF((TAN(P3*PI()/180)*(wide/2-(16*86/12)))&gt;0,(TAN(P3*PI()/180)*(wide/2-(16*86/12))),0)</f>
        <v>0</v>
      </c>
      <c r="O147" s="71" t="s">
        <v>437</v>
      </c>
      <c r="Y147" s="70">
        <f>IF((TAN(P2*PI()/180)*((wide/2)-(24*86/12)))&gt;0,(TAN(P2*PI()/180)*((wide/2)-(24*86/12))),0)</f>
        <v>0</v>
      </c>
      <c r="Z147" s="71" t="s">
        <v>438</v>
      </c>
      <c r="AG147"/>
      <c r="AH147"/>
      <c r="AI147"/>
      <c r="AJ147"/>
      <c r="AK147"/>
      <c r="AL147"/>
      <c r="AM147"/>
      <c r="AN147" s="86"/>
      <c r="AO147" s="72"/>
      <c r="AP147" s="72"/>
      <c r="AQ147" s="72"/>
      <c r="AR147" s="72"/>
      <c r="AS147" s="72"/>
      <c r="AT147" s="72"/>
      <c r="AU147" s="72"/>
      <c r="AV147" s="72"/>
      <c r="AW147" s="72"/>
    </row>
    <row r="148" spans="2:49" s="70" customFormat="1" x14ac:dyDescent="0.3">
      <c r="B148" s="70">
        <f>IF((TAN(P2*PI()/180)*((wide/2)-(16*87/12)))&gt;0,(TAN(P2*PI()/180)*((wide/2)-(16*87/12))),0)</f>
        <v>0</v>
      </c>
      <c r="C148" s="71" t="s">
        <v>439</v>
      </c>
      <c r="N148" s="70">
        <f>IF((TAN(P3*PI()/180)*(wide/2-(16*87/12)))&gt;0,(TAN(P3*PI()/180)*(wide/2-(16*87/12))),0)</f>
        <v>0</v>
      </c>
      <c r="O148" s="71" t="s">
        <v>440</v>
      </c>
      <c r="Y148" s="70">
        <f>IF((TAN(P2*PI()/180)*((wide/2)-(24*87/12)))&gt;0,(TAN(P2*PI()/180)*((wide/2)-(24*87/12))),0)</f>
        <v>0</v>
      </c>
      <c r="Z148" s="71" t="s">
        <v>441</v>
      </c>
      <c r="AG148"/>
      <c r="AH148"/>
      <c r="AI148"/>
      <c r="AJ148"/>
      <c r="AK148"/>
      <c r="AL148"/>
      <c r="AM148"/>
      <c r="AN148" s="86"/>
      <c r="AO148" s="72"/>
      <c r="AP148" s="72"/>
      <c r="AQ148" s="72"/>
      <c r="AR148" s="72"/>
      <c r="AS148" s="72"/>
      <c r="AT148" s="72"/>
      <c r="AU148" s="72"/>
      <c r="AV148" s="72"/>
      <c r="AW148" s="72"/>
    </row>
    <row r="149" spans="2:49" s="70" customFormat="1" x14ac:dyDescent="0.3">
      <c r="B149" s="70">
        <f>IF((TAN(P2*PI()/180)*((wide/2)-(16*88/12)))&gt;0,(TAN(P2*PI()/180)*((wide/2)-(16*88/12))),0)</f>
        <v>0</v>
      </c>
      <c r="C149" s="71" t="s">
        <v>442</v>
      </c>
      <c r="N149" s="70">
        <f>IF((TAN(P3*PI()/180)*(wide/2-(16*88/12)))&gt;0,(TAN(P3*PI()/180)*(wide/2-(16*88/12))),0)</f>
        <v>0</v>
      </c>
      <c r="O149" s="71" t="s">
        <v>443</v>
      </c>
      <c r="Y149" s="70">
        <f>IF((TAN(P2*PI()/180)*((wide/2)-(24*88/12)))&gt;0,(TAN(P2*PI()/180)*((wide/2)-(24*88/12))),0)</f>
        <v>0</v>
      </c>
      <c r="Z149" s="71" t="s">
        <v>444</v>
      </c>
      <c r="AG149"/>
      <c r="AH149"/>
      <c r="AI149"/>
      <c r="AJ149"/>
      <c r="AK149"/>
      <c r="AL149"/>
      <c r="AM149"/>
      <c r="AN149" s="86"/>
      <c r="AO149" s="72"/>
      <c r="AP149" s="72"/>
      <c r="AQ149" s="72"/>
      <c r="AR149" s="72"/>
      <c r="AS149" s="72"/>
      <c r="AT149" s="72"/>
      <c r="AU149" s="72"/>
      <c r="AV149" s="72"/>
      <c r="AW149" s="72"/>
    </row>
    <row r="150" spans="2:49" s="70" customFormat="1" x14ac:dyDescent="0.3">
      <c r="B150" s="70">
        <f>IF((TAN(P2*PI()/180)*((wide/2)-(16*89/12)))&gt;0,(TAN(P2*PI()/180)*((wide/2)-(16*89/12))),0)</f>
        <v>0</v>
      </c>
      <c r="C150" s="71" t="s">
        <v>445</v>
      </c>
      <c r="N150" s="70">
        <f>IF((TAN(P3*PI()/180)*(wide/2-(16*89/12)))&gt;0,(TAN(P3*PI()/180)*(wide/2-(16*89/12))),0)</f>
        <v>0</v>
      </c>
      <c r="O150" s="71" t="s">
        <v>446</v>
      </c>
      <c r="Y150" s="70">
        <f>IF((TAN(P2*PI()/180)*((wide/2)-(24*89/12)))&gt;0,(TAN(P2*PI()/180)*((wide/2)-(24*89/12))),0)</f>
        <v>0</v>
      </c>
      <c r="Z150" s="71" t="s">
        <v>447</v>
      </c>
      <c r="AG150"/>
      <c r="AH150"/>
      <c r="AI150"/>
      <c r="AJ150"/>
      <c r="AK150"/>
      <c r="AL150"/>
      <c r="AM150"/>
      <c r="AN150" s="86"/>
      <c r="AO150" s="72"/>
      <c r="AP150" s="72"/>
      <c r="AQ150" s="72"/>
      <c r="AR150" s="72"/>
      <c r="AS150" s="72"/>
      <c r="AT150" s="72"/>
      <c r="AU150" s="72"/>
      <c r="AV150" s="72"/>
      <c r="AW150" s="72"/>
    </row>
    <row r="151" spans="2:49" s="70" customFormat="1" x14ac:dyDescent="0.3">
      <c r="B151" s="70">
        <f>IF((TAN(P2*PI()/180)*((wide/2)-(16*90/12)))&gt;0,(TAN(P2*PI()/180)*((wide/2)-(16*90/12))),0)</f>
        <v>0</v>
      </c>
      <c r="C151" s="71" t="s">
        <v>448</v>
      </c>
      <c r="N151" s="70">
        <f>IF((TAN(P3*PI()/180)*(wide/2-(16*90/12)))&gt;0,(TAN(P3*PI()/180)*(wide/2-(16*90/12))),0)</f>
        <v>0</v>
      </c>
      <c r="O151" s="71" t="s">
        <v>449</v>
      </c>
      <c r="Y151" s="70">
        <f>IF((TAN(P2*PI()/180)*((wide/2)-(24*90/12)))&gt;0,(TAN(P2*PI()/180)*((wide/2)-(24*90/12))),0)</f>
        <v>0</v>
      </c>
      <c r="Z151" s="71" t="s">
        <v>450</v>
      </c>
      <c r="AG151"/>
      <c r="AH151"/>
      <c r="AI151"/>
      <c r="AJ151"/>
      <c r="AK151"/>
      <c r="AL151"/>
      <c r="AM151"/>
      <c r="AN151" s="86"/>
      <c r="AO151" s="72"/>
      <c r="AP151" s="72"/>
      <c r="AQ151" s="72"/>
      <c r="AR151" s="72"/>
      <c r="AS151" s="72"/>
      <c r="AT151" s="72"/>
      <c r="AU151" s="72"/>
      <c r="AV151" s="72"/>
      <c r="AW151" s="72"/>
    </row>
    <row r="152" spans="2:49" s="70" customFormat="1" x14ac:dyDescent="0.3">
      <c r="B152" s="70">
        <f>IF((TAN(P2*PI()/180)*((wide/2)-(16*91/12)))&gt;0,(TAN(P2*PI()/180)*((wide/2)-(16*91/12))),0)</f>
        <v>0</v>
      </c>
      <c r="C152" s="71" t="s">
        <v>451</v>
      </c>
      <c r="N152" s="70">
        <f>IF((TAN(P3*PI()/180)*(wide/2-(16*91/12)))&gt;0,(TAN(P3*PI()/180)*(wide/2-(16*91/12))),0)</f>
        <v>0</v>
      </c>
      <c r="O152" s="71" t="s">
        <v>452</v>
      </c>
      <c r="Y152" s="70">
        <f>IF((TAN(P2*PI()/180)*((wide/2)-(24*91/12)))&gt;0,(TAN(P2*PI()/180)*((wide/2)-(24*91/12))),0)</f>
        <v>0</v>
      </c>
      <c r="Z152" s="71" t="s">
        <v>453</v>
      </c>
      <c r="AG152"/>
      <c r="AH152"/>
      <c r="AI152"/>
      <c r="AJ152"/>
      <c r="AK152"/>
      <c r="AL152"/>
      <c r="AM152"/>
      <c r="AN152" s="86"/>
      <c r="AO152" s="72"/>
      <c r="AP152" s="72"/>
      <c r="AQ152" s="72"/>
      <c r="AR152" s="72"/>
      <c r="AS152" s="72"/>
      <c r="AT152" s="72"/>
      <c r="AU152" s="72"/>
      <c r="AV152" s="72"/>
      <c r="AW152" s="72"/>
    </row>
    <row r="153" spans="2:49" s="70" customFormat="1" x14ac:dyDescent="0.3">
      <c r="B153" s="70">
        <f>IF((TAN(P2*PI()/180)*((wide/2)-(16*92/12)))&gt;0,(TAN(P2*PI()/180)*((wide/2)-(16*92/12))),0)</f>
        <v>0</v>
      </c>
      <c r="C153" s="71" t="s">
        <v>454</v>
      </c>
      <c r="N153" s="70">
        <f>IF((TAN(P3*PI()/180)*(wide/2-(16*92/12)))&gt;0,(TAN(P3*PI()/180)*(wide/2-(16*92/12))),0)</f>
        <v>0</v>
      </c>
      <c r="O153" s="71" t="s">
        <v>455</v>
      </c>
      <c r="Y153" s="70">
        <f>IF((TAN(P2*PI()/180)*((wide/2)-(24*92/12)))&gt;0,(TAN(P2*PI()/180)*((wide/2)-(24*92/12))),0)</f>
        <v>0</v>
      </c>
      <c r="Z153" s="71" t="s">
        <v>456</v>
      </c>
      <c r="AG153"/>
      <c r="AH153"/>
      <c r="AI153"/>
      <c r="AJ153"/>
      <c r="AK153"/>
      <c r="AL153"/>
      <c r="AM153"/>
      <c r="AN153" s="86"/>
      <c r="AO153" s="72"/>
      <c r="AP153" s="72"/>
      <c r="AQ153" s="72"/>
      <c r="AR153" s="72"/>
      <c r="AS153" s="72"/>
      <c r="AT153" s="72"/>
      <c r="AU153" s="72"/>
      <c r="AV153" s="72"/>
      <c r="AW153" s="72"/>
    </row>
    <row r="154" spans="2:49" s="70" customFormat="1" x14ac:dyDescent="0.3">
      <c r="B154" s="70">
        <f>IF((TAN(P2*PI()/180)*((wide/2)-(16*93/12)))&gt;0,(TAN(P2*PI()/180)*((wide/2)-(16*93/12))),0)</f>
        <v>0</v>
      </c>
      <c r="C154" s="71" t="s">
        <v>457</v>
      </c>
      <c r="N154" s="70">
        <f>IF((TAN(P3*PI()/180)*(wide/2-(16*93/12)))&gt;0,(TAN(P3*PI()/180)*(wide/2-(16*93/12))),0)</f>
        <v>0</v>
      </c>
      <c r="O154" s="71" t="s">
        <v>458</v>
      </c>
      <c r="Y154" s="70">
        <f>IF((TAN(P2*PI()/180)*((wide/2)-(24*93/12)))&gt;0,(TAN(P2*PI()/180)*((wide/2)-(24*93/12))),0)</f>
        <v>0</v>
      </c>
      <c r="Z154" s="71" t="s">
        <v>459</v>
      </c>
      <c r="AG154"/>
      <c r="AH154"/>
      <c r="AI154"/>
      <c r="AJ154"/>
      <c r="AK154"/>
      <c r="AL154"/>
      <c r="AM154"/>
      <c r="AN154" s="86"/>
      <c r="AO154" s="72"/>
      <c r="AP154" s="72"/>
      <c r="AQ154" s="72"/>
      <c r="AR154" s="72"/>
      <c r="AS154" s="72"/>
      <c r="AT154" s="72"/>
      <c r="AU154" s="72"/>
      <c r="AV154" s="72"/>
      <c r="AW154" s="72"/>
    </row>
    <row r="155" spans="2:49" s="70" customFormat="1" x14ac:dyDescent="0.3">
      <c r="B155" s="70">
        <f>IF((TAN(P2*PI()/180)*((wide/2)-(16*94/12)))&gt;0,(TAN(P2*PI()/180)*((wide/2)-(16*94/12))),0)</f>
        <v>0</v>
      </c>
      <c r="C155" s="71" t="s">
        <v>460</v>
      </c>
      <c r="N155" s="70">
        <f>IF((TAN(P3*PI()/180)*(wide/2-(16*94/12)))&gt;0,(TAN(P3*PI()/180)*(wide/2-(16*94/12))),0)</f>
        <v>0</v>
      </c>
      <c r="O155" s="71" t="s">
        <v>461</v>
      </c>
      <c r="Y155" s="70">
        <f>IF((TAN(P2*PI()/180)*((wide/2)-(24*94/12)))&gt;0,(TAN(P2*PI()/180)*((wide/2)-(24*94/12))),0)</f>
        <v>0</v>
      </c>
      <c r="Z155" s="71" t="s">
        <v>462</v>
      </c>
      <c r="AG155"/>
      <c r="AH155"/>
      <c r="AI155"/>
      <c r="AJ155"/>
      <c r="AK155"/>
      <c r="AL155"/>
      <c r="AM155"/>
      <c r="AN155" s="86"/>
      <c r="AO155" s="72"/>
      <c r="AP155" s="72"/>
      <c r="AQ155" s="72"/>
      <c r="AR155" s="72"/>
      <c r="AS155" s="72"/>
      <c r="AT155" s="72"/>
      <c r="AU155" s="72"/>
      <c r="AV155" s="72"/>
      <c r="AW155" s="72"/>
    </row>
    <row r="156" spans="2:49" s="70" customFormat="1" x14ac:dyDescent="0.3">
      <c r="B156" s="70">
        <f>IF((TAN(P2*PI()/180)*((wide/2)-(16*95/12)))&gt;0,(TAN(P2*PI()/180)*((wide/2)-(16*95/12))),0)</f>
        <v>0</v>
      </c>
      <c r="C156" s="71" t="s">
        <v>463</v>
      </c>
      <c r="N156" s="70">
        <f>IF((TAN(P3*PI()/180)*(wide/2-(16*95/12)))&gt;0,(TAN(P3*PI()/180)*(wide/2-(16*95/12))),0)</f>
        <v>0</v>
      </c>
      <c r="O156" s="71" t="s">
        <v>464</v>
      </c>
      <c r="Y156" s="70">
        <f>IF((TAN(P2*PI()/180)*((wide/2)-(24*95/12)))&gt;0,(TAN(P2*PI()/180)*((wide/2)-(24*95/12))),0)</f>
        <v>0</v>
      </c>
      <c r="Z156" s="71" t="s">
        <v>465</v>
      </c>
      <c r="AG156"/>
      <c r="AH156"/>
      <c r="AI156"/>
      <c r="AJ156"/>
      <c r="AK156"/>
      <c r="AL156"/>
      <c r="AM156"/>
      <c r="AN156" s="86"/>
      <c r="AO156" s="72"/>
      <c r="AP156" s="72"/>
      <c r="AQ156" s="72"/>
      <c r="AR156" s="72"/>
      <c r="AS156" s="72"/>
      <c r="AT156" s="72"/>
      <c r="AU156" s="72"/>
      <c r="AV156" s="72"/>
      <c r="AW156" s="72"/>
    </row>
    <row r="157" spans="2:49" s="70" customFormat="1" x14ac:dyDescent="0.3">
      <c r="B157" s="70">
        <f>IF((TAN(P2*PI()/180)*((wide/2)-(16*96/12)))&gt;0,(TAN(P2*PI()/180)*((wide/2)-(16*96/12))),0)</f>
        <v>0</v>
      </c>
      <c r="C157" s="71" t="s">
        <v>466</v>
      </c>
      <c r="N157" s="70">
        <f>IF((TAN(P3*PI()/180)*(wide/2-(16*96/12)))&gt;0,(TAN(P3*PI()/180)*(wide/2-(16*96/12))),0)</f>
        <v>0</v>
      </c>
      <c r="O157" s="71" t="s">
        <v>467</v>
      </c>
      <c r="Y157" s="70">
        <f>IF((TAN(P2*PI()/180)*((wide/2)-(24*96/12)))&gt;0,(TAN(P2*PI()/180)*((wide/2)-(24*96/12))),0)</f>
        <v>0</v>
      </c>
      <c r="Z157" s="71" t="s">
        <v>468</v>
      </c>
      <c r="AG157"/>
      <c r="AH157"/>
      <c r="AI157"/>
      <c r="AJ157"/>
      <c r="AK157"/>
      <c r="AL157"/>
      <c r="AM157"/>
      <c r="AN157" s="86"/>
      <c r="AO157" s="72"/>
      <c r="AP157" s="72"/>
      <c r="AQ157" s="72"/>
      <c r="AR157" s="72"/>
      <c r="AS157" s="72"/>
      <c r="AT157" s="72"/>
      <c r="AU157" s="72"/>
      <c r="AV157" s="72"/>
      <c r="AW157" s="72"/>
    </row>
    <row r="158" spans="2:49" s="70" customFormat="1" x14ac:dyDescent="0.3">
      <c r="B158" s="70">
        <f>IF((TAN(P2*PI()/180)*((wide/2)-(16*97/12)))&gt;0,(TAN(P2*PI()/180)*((wide/2)-(16*97/12))),0)</f>
        <v>0</v>
      </c>
      <c r="C158" s="71" t="s">
        <v>469</v>
      </c>
      <c r="N158" s="70">
        <f>IF((TAN(P3*PI()/180)*(wide/2-(16*97/12)))&gt;0,(TAN(P3*PI()/180)*(wide/2-(16*97/12))),0)</f>
        <v>0</v>
      </c>
      <c r="O158" s="71" t="s">
        <v>470</v>
      </c>
      <c r="Y158" s="70">
        <f>IF((TAN(P2*PI()/180)*((wide/2)-(24*97/12)))&gt;0,(TAN(P2*PI()/180)*((wide/2)-(24*97/12))),0)</f>
        <v>0</v>
      </c>
      <c r="Z158" s="71" t="s">
        <v>471</v>
      </c>
      <c r="AG158"/>
      <c r="AH158"/>
      <c r="AI158"/>
      <c r="AJ158"/>
      <c r="AK158"/>
      <c r="AL158"/>
      <c r="AM158"/>
      <c r="AN158" s="86"/>
      <c r="AO158" s="72"/>
      <c r="AP158" s="72"/>
      <c r="AQ158" s="72"/>
      <c r="AR158" s="72"/>
      <c r="AS158" s="72"/>
      <c r="AT158" s="72"/>
      <c r="AU158" s="72"/>
      <c r="AV158" s="72"/>
      <c r="AW158" s="72"/>
    </row>
    <row r="159" spans="2:49" s="70" customFormat="1" x14ac:dyDescent="0.3">
      <c r="B159" s="70">
        <f>IF((TAN(P2*PI()/180)*((wide/2)-(16*98/12)))&gt;0,(TAN(P2*PI()/180)*((wide/2)-(16*98/12))),0)</f>
        <v>0</v>
      </c>
      <c r="C159" s="71" t="s">
        <v>472</v>
      </c>
      <c r="N159" s="70">
        <f>IF((TAN(P3*PI()/180)*(wide/2-(16*98/12)))&gt;0,(TAN(P3*PI()/180)*(wide/2-(16*98/12))),0)</f>
        <v>0</v>
      </c>
      <c r="O159" s="71" t="s">
        <v>473</v>
      </c>
      <c r="Y159" s="70">
        <f>IF((TAN(P2*PI()/180)*((wide/2)-(24*98/12)))&gt;0,(TAN(P2*PI()/180)*((wide/2)-(24*98/12))),0)</f>
        <v>0</v>
      </c>
      <c r="Z159" s="71" t="s">
        <v>474</v>
      </c>
      <c r="AG159"/>
      <c r="AH159"/>
      <c r="AI159"/>
      <c r="AJ159"/>
      <c r="AK159"/>
      <c r="AL159"/>
      <c r="AM159"/>
      <c r="AN159" s="86"/>
      <c r="AO159" s="72"/>
      <c r="AP159" s="72"/>
      <c r="AQ159" s="72"/>
      <c r="AR159" s="72"/>
      <c r="AS159" s="72"/>
      <c r="AT159" s="72"/>
      <c r="AU159" s="72"/>
      <c r="AV159" s="72"/>
      <c r="AW159" s="72"/>
    </row>
    <row r="160" spans="2:49" s="70" customFormat="1" x14ac:dyDescent="0.3">
      <c r="B160" s="70">
        <f>IF((TAN(P2*PI()/180)*((wide/2)-(16*99/12)))&gt;0,(TAN(P2*PI()/180)*((wide/2)-(16*99/12))),0)</f>
        <v>0</v>
      </c>
      <c r="C160" s="71" t="s">
        <v>475</v>
      </c>
      <c r="N160" s="70">
        <f>IF((TAN(P3*PI()/180)*(wide/2-(16*99/12)))&gt;0,(TAN(P3*PI()/180)*(wide/2-(16*99/12))),0)</f>
        <v>0</v>
      </c>
      <c r="O160" s="71" t="s">
        <v>476</v>
      </c>
      <c r="Y160" s="70">
        <f>IF((TAN(P2*PI()/180)*((wide/2)-(24*99/12)))&gt;0,(TAN(P2*PI()/180)*((wide/2)-(24*99/12))),0)</f>
        <v>0</v>
      </c>
      <c r="Z160" s="71" t="s">
        <v>477</v>
      </c>
      <c r="AG160"/>
      <c r="AH160"/>
      <c r="AI160"/>
      <c r="AJ160"/>
      <c r="AK160"/>
      <c r="AL160"/>
      <c r="AM160"/>
      <c r="AN160" s="86"/>
      <c r="AO160" s="72"/>
      <c r="AP160" s="72"/>
      <c r="AQ160" s="72"/>
      <c r="AR160" s="72"/>
      <c r="AS160" s="72"/>
      <c r="AT160" s="72"/>
      <c r="AU160" s="72"/>
      <c r="AV160" s="72"/>
      <c r="AW160" s="72"/>
    </row>
    <row r="161" spans="2:49" s="70" customFormat="1" x14ac:dyDescent="0.3">
      <c r="B161" s="70">
        <f>IF((TAN(P2*PI()/180)*((wide/2)-(16*100/12)))&gt;0,(TAN(P2*PI()/180)*((wide/2)-(16*100/12))),0)</f>
        <v>0</v>
      </c>
      <c r="C161" s="71" t="s">
        <v>478</v>
      </c>
      <c r="N161" s="70">
        <f>IF((TAN(P3*PI()/180)*(wide/2-(16*100/12)))&gt;0,(TAN(P3*PI()/180)*(wide/2-(16*100/12))),0)</f>
        <v>0</v>
      </c>
      <c r="O161" s="71" t="s">
        <v>479</v>
      </c>
      <c r="Y161" s="70">
        <f>IF((TAN(P2*PI()/180)*((wide/2)-(24*100/12)))&gt;0,(TAN(P2*PI()/180)*((wide/2)-(24*100/12))),0)</f>
        <v>0</v>
      </c>
      <c r="Z161" s="71" t="s">
        <v>480</v>
      </c>
      <c r="AG161"/>
      <c r="AH161"/>
      <c r="AI161"/>
      <c r="AJ161"/>
      <c r="AK161"/>
      <c r="AL161"/>
      <c r="AM161"/>
      <c r="AN161" s="86"/>
      <c r="AO161" s="72"/>
      <c r="AP161" s="72"/>
      <c r="AQ161" s="72"/>
      <c r="AR161" s="72"/>
      <c r="AS161" s="72"/>
      <c r="AT161" s="72"/>
      <c r="AU161" s="72"/>
      <c r="AV161" s="72"/>
      <c r="AW161" s="72"/>
    </row>
    <row r="162" spans="2:49" s="70" customFormat="1" x14ac:dyDescent="0.3">
      <c r="B162" s="70">
        <f>IF((TAN(P2*PI()/180)*((wide/2)-(16*101/12)))&gt;0,(TAN(P2*PI()/180)*((wide/2)-(16*101/12))),0)</f>
        <v>0</v>
      </c>
      <c r="C162" s="71" t="s">
        <v>481</v>
      </c>
      <c r="N162" s="70">
        <f>IF((TAN(P3*PI()/180)*(wide/2-(16*101/12)))&gt;0,(TAN(P3*PI()/180)*(wide/2-(16*101/12))),0)</f>
        <v>0</v>
      </c>
      <c r="O162" s="71" t="s">
        <v>482</v>
      </c>
      <c r="Y162" s="70">
        <f>IF((TAN(P2*PI()/180)*((wide/2)-(24*101/12)))&gt;0,(TAN(P2*PI()/180)*((wide/2)-(24*101/12))),0)</f>
        <v>0</v>
      </c>
      <c r="Z162" s="71" t="s">
        <v>483</v>
      </c>
      <c r="AG162"/>
      <c r="AH162"/>
      <c r="AI162"/>
      <c r="AJ162"/>
      <c r="AK162"/>
      <c r="AL162"/>
      <c r="AM162"/>
      <c r="AN162" s="86"/>
      <c r="AO162" s="72"/>
      <c r="AP162" s="72"/>
      <c r="AQ162" s="72"/>
      <c r="AR162" s="72"/>
      <c r="AS162" s="72"/>
      <c r="AT162" s="72"/>
      <c r="AU162" s="72"/>
      <c r="AV162" s="72"/>
      <c r="AW162" s="72"/>
    </row>
    <row r="163" spans="2:49" s="70" customFormat="1" x14ac:dyDescent="0.3">
      <c r="B163" s="70">
        <f>IF((TAN(P2*PI()/180)*((wide/2)-(16*102/12)))&gt;0,(TAN(P2*PI()/180)*((wide/2)-(16*102/12))),0)</f>
        <v>0</v>
      </c>
      <c r="C163" s="71" t="s">
        <v>484</v>
      </c>
      <c r="N163" s="70">
        <f>IF((TAN(P3*PI()/180)*(wide/2-(16*102/12)))&gt;0,(TAN(P3*PI()/180)*(wide/2-(16*102/12))),0)</f>
        <v>0</v>
      </c>
      <c r="O163" s="71" t="s">
        <v>485</v>
      </c>
      <c r="Y163" s="70">
        <f>IF((TAN(P2*PI()/180)*((wide/2)-(24*102/12)))&gt;0,(TAN(P2*PI()/180)*((wide/2)-(24*102/12))),0)</f>
        <v>0</v>
      </c>
      <c r="Z163" s="71" t="s">
        <v>486</v>
      </c>
      <c r="AG163"/>
      <c r="AH163"/>
      <c r="AI163"/>
      <c r="AJ163"/>
      <c r="AK163"/>
      <c r="AL163"/>
      <c r="AM163"/>
      <c r="AN163" s="86"/>
      <c r="AO163" s="72"/>
      <c r="AP163" s="72"/>
      <c r="AQ163" s="72"/>
      <c r="AR163" s="72"/>
      <c r="AS163" s="72"/>
      <c r="AT163" s="72"/>
      <c r="AU163" s="72"/>
      <c r="AV163" s="72"/>
      <c r="AW163" s="72"/>
    </row>
    <row r="164" spans="2:49" s="70" customFormat="1" x14ac:dyDescent="0.3">
      <c r="B164" s="70">
        <f>IF((TAN(P2*PI()/180)*((wide/2)-(16*103/12)))&gt;0,(TAN(P2*PI()/180)*((wide/2)-(16*103/12))),0)</f>
        <v>0</v>
      </c>
      <c r="C164" s="71" t="s">
        <v>487</v>
      </c>
      <c r="N164" s="70">
        <f>IF((TAN(P3*PI()/180)*(wide/2-(16*103/12)))&gt;0,(TAN(P3*PI()/180)*(wide/2-(16*103/12))),0)</f>
        <v>0</v>
      </c>
      <c r="O164" s="71" t="s">
        <v>488</v>
      </c>
      <c r="Y164" s="70">
        <f>IF((TAN(P2*PI()/180)*((wide/2)-(24*103/12)))&gt;0,(TAN(P2*PI()/180)*((wide/2)-(24*103/12))),0)</f>
        <v>0</v>
      </c>
      <c r="Z164" s="71" t="s">
        <v>489</v>
      </c>
      <c r="AG164"/>
      <c r="AH164"/>
      <c r="AI164"/>
      <c r="AJ164"/>
      <c r="AK164"/>
      <c r="AL164"/>
      <c r="AM164"/>
      <c r="AN164" s="86"/>
      <c r="AO164" s="72"/>
      <c r="AP164" s="72"/>
      <c r="AQ164" s="72"/>
      <c r="AR164" s="72"/>
      <c r="AS164" s="72"/>
      <c r="AT164" s="72"/>
      <c r="AU164" s="72"/>
      <c r="AV164" s="72"/>
      <c r="AW164" s="72"/>
    </row>
    <row r="165" spans="2:49" s="70" customFormat="1" x14ac:dyDescent="0.3">
      <c r="B165" s="70">
        <f>IF((TAN(P2*PI()/180)*((wide/2)-(16*104/12)))&gt;0,(TAN(P2*PI()/180)*((wide/2)-(16*104/12))),0)</f>
        <v>0</v>
      </c>
      <c r="C165" s="71" t="s">
        <v>490</v>
      </c>
      <c r="N165" s="70">
        <f>IF((TAN(P3*PI()/180)*(wide/2-(16*104/12)))&gt;0,(TAN(P3*PI()/180)*(wide/2-(16*104/12))),0)</f>
        <v>0</v>
      </c>
      <c r="O165" s="71" t="s">
        <v>491</v>
      </c>
      <c r="Y165" s="70">
        <f>IF((TAN(P2*PI()/180)*((wide/2)-(24*104/12)))&gt;0,(TAN(P2*PI()/180)*((wide/2)-(24*104/12))),0)</f>
        <v>0</v>
      </c>
      <c r="Z165" s="71" t="s">
        <v>492</v>
      </c>
      <c r="AG165"/>
      <c r="AH165"/>
      <c r="AI165"/>
      <c r="AJ165"/>
      <c r="AK165"/>
      <c r="AL165"/>
      <c r="AM165"/>
      <c r="AN165" s="86"/>
      <c r="AO165" s="72"/>
      <c r="AP165" s="72"/>
      <c r="AQ165" s="72"/>
      <c r="AR165" s="72"/>
      <c r="AS165" s="72"/>
      <c r="AT165" s="72"/>
      <c r="AU165" s="72"/>
      <c r="AV165" s="72"/>
      <c r="AW165" s="72"/>
    </row>
    <row r="166" spans="2:49" s="70" customFormat="1" x14ac:dyDescent="0.3">
      <c r="B166" s="70">
        <f>IF((TAN(P2*PI()/180)*((wide/2)-(16*105/12)))&gt;0,(TAN(P2*PI()/180)*((wide/2)-(16*105/12))),0)</f>
        <v>0</v>
      </c>
      <c r="C166" s="71" t="s">
        <v>493</v>
      </c>
      <c r="N166" s="70">
        <f>IF((TAN(P3*PI()/180)*(wide/2-(16*105/12)))&gt;0,(TAN(P3*PI()/180)*(wide/2-(16*105/12))),0)</f>
        <v>0</v>
      </c>
      <c r="O166" s="71" t="s">
        <v>494</v>
      </c>
      <c r="Y166" s="70">
        <f>IF((TAN(P2*PI()/180)*((wide/2)-(24*105/12)))&gt;0,(TAN(P2*PI()/180)*((wide/2)-(24*105/12))),0)</f>
        <v>0</v>
      </c>
      <c r="Z166" s="71" t="s">
        <v>495</v>
      </c>
      <c r="AG166"/>
      <c r="AH166"/>
      <c r="AI166"/>
      <c r="AJ166"/>
      <c r="AK166"/>
      <c r="AL166"/>
      <c r="AM166"/>
      <c r="AN166" s="86"/>
      <c r="AO166" s="72"/>
      <c r="AP166" s="72"/>
      <c r="AQ166" s="72"/>
      <c r="AR166" s="72"/>
      <c r="AS166" s="72"/>
      <c r="AT166" s="72"/>
      <c r="AU166" s="72"/>
      <c r="AV166" s="72"/>
      <c r="AW166" s="72"/>
    </row>
    <row r="167" spans="2:49" s="70" customFormat="1" x14ac:dyDescent="0.3">
      <c r="B167" s="70">
        <f>IF((TAN(P2*PI()/180)*((wide/2)-(16*106/12)))&gt;0,(TAN(P2*PI()/180)*((wide/2)-(16*106/12))),0)</f>
        <v>0</v>
      </c>
      <c r="C167" s="71" t="s">
        <v>496</v>
      </c>
      <c r="N167" s="70">
        <f>IF((TAN(P3*PI()/180)*(wide/2-(16*106/12)))&gt;0,(TAN(P3*PI()/180)*(wide/2-(16*106/12))),0)</f>
        <v>0</v>
      </c>
      <c r="O167" s="71" t="s">
        <v>497</v>
      </c>
      <c r="Y167" s="70">
        <f>IF((TAN(P2*PI()/180)*((wide/2)-(24*106/12)))&gt;0,(TAN(P2*PI()/180)*((wide/2)-(24*106/12))),0)</f>
        <v>0</v>
      </c>
      <c r="Z167" s="71" t="s">
        <v>498</v>
      </c>
      <c r="AG167"/>
      <c r="AH167"/>
      <c r="AI167"/>
      <c r="AJ167"/>
      <c r="AK167"/>
      <c r="AL167"/>
      <c r="AM167"/>
      <c r="AN167" s="86"/>
      <c r="AO167" s="72"/>
      <c r="AP167" s="72"/>
      <c r="AQ167" s="72"/>
      <c r="AR167" s="72"/>
      <c r="AS167" s="72"/>
      <c r="AT167" s="72"/>
      <c r="AU167" s="72"/>
      <c r="AV167" s="72"/>
      <c r="AW167" s="72"/>
    </row>
    <row r="168" spans="2:49" s="70" customFormat="1" x14ac:dyDescent="0.3">
      <c r="B168" s="70">
        <f>IF((TAN(P2*PI()/180)*((wide/2)-(16*107/12)))&gt;0,(TAN(P2*PI()/180)*((wide/2)-(16*107/12))),0)</f>
        <v>0</v>
      </c>
      <c r="C168" s="71" t="s">
        <v>499</v>
      </c>
      <c r="N168" s="70">
        <f>IF((TAN(P3*PI()/180)*(wide/2-(16*107/12)))&gt;0,(TAN(P3*PI()/180)*(wide/2-(16*107/12))),0)</f>
        <v>0</v>
      </c>
      <c r="O168" s="71" t="s">
        <v>500</v>
      </c>
      <c r="Y168" s="70">
        <f>IF((TAN(P2*PI()/180)*((wide/2)-(24*107/12)))&gt;0,(TAN(P2*PI()/180)*((wide/2)-(24*107/12))),0)</f>
        <v>0</v>
      </c>
      <c r="Z168" s="71" t="s">
        <v>501</v>
      </c>
      <c r="AG168"/>
      <c r="AH168"/>
      <c r="AI168"/>
      <c r="AJ168"/>
      <c r="AK168"/>
      <c r="AL168"/>
      <c r="AM168"/>
      <c r="AN168" s="86"/>
      <c r="AO168" s="72"/>
      <c r="AP168" s="72"/>
      <c r="AQ168" s="72"/>
      <c r="AR168" s="72"/>
      <c r="AS168" s="72"/>
      <c r="AT168" s="72"/>
      <c r="AU168" s="72"/>
      <c r="AV168" s="72"/>
      <c r="AW168" s="72"/>
    </row>
    <row r="169" spans="2:49" s="70" customFormat="1" x14ac:dyDescent="0.3">
      <c r="B169" s="70">
        <f>IF((TAN(P2*PI()/180)*((wide/2)-(16*108/12)))&gt;0,(TAN(P2*PI()/180)*((wide/2)-(16*108/12))),0)</f>
        <v>0</v>
      </c>
      <c r="C169" s="71" t="s">
        <v>502</v>
      </c>
      <c r="N169" s="70">
        <f>IF((TAN(P3*PI()/180)*(wide/2-(16*108/12)))&gt;0,(TAN(P3*PI()/180)*(wide/2-(16*108/12))),0)</f>
        <v>0</v>
      </c>
      <c r="O169" s="71" t="s">
        <v>503</v>
      </c>
      <c r="Y169" s="70">
        <f>IF((TAN(P2*PI()/180)*((wide/2)-(24*108/12)))&gt;0,(TAN(P2*PI()/180)*((wide/2)-(24*108/12))),0)</f>
        <v>0</v>
      </c>
      <c r="Z169" s="71" t="s">
        <v>504</v>
      </c>
      <c r="AG169"/>
      <c r="AH169"/>
      <c r="AI169"/>
      <c r="AJ169"/>
      <c r="AK169"/>
      <c r="AL169"/>
      <c r="AM169"/>
      <c r="AN169" s="86"/>
      <c r="AO169" s="72"/>
      <c r="AP169" s="72"/>
      <c r="AQ169" s="72"/>
      <c r="AR169" s="72"/>
      <c r="AS169" s="72"/>
      <c r="AT169" s="72"/>
      <c r="AU169" s="72"/>
      <c r="AV169" s="72"/>
      <c r="AW169" s="72"/>
    </row>
    <row r="170" spans="2:49" s="70" customFormat="1" x14ac:dyDescent="0.3">
      <c r="B170" s="70">
        <f>IF((TAN(P2*PI()/180)*((wide/2)-(16*109/12)))&gt;0,(TAN(P2*PI()/180)*((wide/2)-(16*109/12))),0)</f>
        <v>0</v>
      </c>
      <c r="C170" s="71" t="s">
        <v>505</v>
      </c>
      <c r="N170" s="70">
        <f>IF((TAN(P3*PI()/180)*(wide/2-(16*109/12)))&gt;0,(TAN(P3*PI()/180)*(wide/2-(16*109/12))),0)</f>
        <v>0</v>
      </c>
      <c r="O170" s="71" t="s">
        <v>506</v>
      </c>
      <c r="Y170" s="70">
        <f>IF((TAN(P2*PI()/180)*((wide/2)-(24*109/12)))&gt;0,(TAN(P2*PI()/180)*((wide/2)-(24*109/12))),0)</f>
        <v>0</v>
      </c>
      <c r="Z170" s="71" t="s">
        <v>507</v>
      </c>
      <c r="AG170"/>
      <c r="AH170"/>
      <c r="AI170"/>
      <c r="AJ170"/>
      <c r="AK170"/>
      <c r="AL170"/>
      <c r="AM170"/>
      <c r="AN170" s="86"/>
      <c r="AO170" s="60"/>
      <c r="AP170" s="60"/>
      <c r="AQ170" s="60"/>
      <c r="AR170" s="60"/>
      <c r="AS170" s="60"/>
      <c r="AT170" s="60"/>
      <c r="AU170" s="60"/>
      <c r="AV170" s="60"/>
      <c r="AW170" s="60"/>
    </row>
    <row r="171" spans="2:49" s="70" customFormat="1" x14ac:dyDescent="0.3">
      <c r="B171" s="70">
        <f>IF((TAN(P2*PI()/180)*((wide/2)-(16*110/12)))&gt;0,(TAN(P2*PI()/180)*((wide/2)-(16*110/12))),0)</f>
        <v>0</v>
      </c>
      <c r="C171" s="71" t="s">
        <v>508</v>
      </c>
      <c r="N171" s="70">
        <f>IF((TAN(P3*PI()/180)*(wide/2-(16*110/12)))&gt;0,(TAN(P3*PI()/180)*(wide/2-(16*110/12))),0)</f>
        <v>0</v>
      </c>
      <c r="O171" s="71" t="s">
        <v>509</v>
      </c>
      <c r="Y171" s="70">
        <f>IF((TAN(P2*PI()/180)*((wide/2)-(24*110/12)))&gt;0,(TAN(P2*PI()/180)*((wide/2)-(24*110/12))),0)</f>
        <v>0</v>
      </c>
      <c r="Z171" s="71" t="s">
        <v>510</v>
      </c>
      <c r="AG171"/>
      <c r="AH171"/>
      <c r="AI171"/>
      <c r="AJ171"/>
      <c r="AK171"/>
      <c r="AL171"/>
      <c r="AM171"/>
      <c r="AN171" s="86"/>
      <c r="AO171" s="60"/>
      <c r="AP171" s="60"/>
      <c r="AQ171" s="60"/>
      <c r="AR171" s="60"/>
      <c r="AS171" s="60"/>
      <c r="AT171" s="60"/>
      <c r="AU171" s="60"/>
      <c r="AV171" s="60"/>
      <c r="AW171" s="60"/>
    </row>
    <row r="172" spans="2:49" s="70" customFormat="1" x14ac:dyDescent="0.3">
      <c r="AG172"/>
      <c r="AH172"/>
      <c r="AI172"/>
      <c r="AJ172"/>
      <c r="AK172"/>
      <c r="AL172"/>
      <c r="AM172"/>
      <c r="AN172" s="86"/>
      <c r="AO172" s="60"/>
      <c r="AP172" s="60"/>
      <c r="AQ172" s="60"/>
      <c r="AR172" s="60"/>
      <c r="AS172" s="60"/>
      <c r="AT172" s="60"/>
      <c r="AU172" s="60"/>
      <c r="AV172" s="60"/>
      <c r="AW172" s="60"/>
    </row>
    <row r="173" spans="2:49" x14ac:dyDescent="0.3">
      <c r="AG173"/>
      <c r="AH173"/>
      <c r="AI173"/>
      <c r="AJ173"/>
      <c r="AK173"/>
      <c r="AL173"/>
      <c r="AM173"/>
      <c r="AN173" s="86"/>
    </row>
    <row r="174" spans="2:49" x14ac:dyDescent="0.3">
      <c r="AG174"/>
      <c r="AH174"/>
      <c r="AI174"/>
      <c r="AJ174"/>
      <c r="AK174"/>
      <c r="AL174"/>
      <c r="AM174"/>
      <c r="AN174" s="86"/>
    </row>
    <row r="175" spans="2:49" x14ac:dyDescent="0.3">
      <c r="AG175"/>
      <c r="AH175"/>
      <c r="AI175"/>
      <c r="AJ175"/>
      <c r="AK175"/>
      <c r="AL175"/>
      <c r="AM175"/>
      <c r="AN175" s="86"/>
    </row>
    <row r="176" spans="2:49" x14ac:dyDescent="0.3">
      <c r="AG176"/>
      <c r="AH176"/>
      <c r="AI176"/>
      <c r="AJ176"/>
      <c r="AK176"/>
      <c r="AL176"/>
      <c r="AM176"/>
      <c r="AN176" s="86"/>
    </row>
    <row r="177" spans="33:40" x14ac:dyDescent="0.3">
      <c r="AG177"/>
      <c r="AH177"/>
      <c r="AI177"/>
      <c r="AJ177"/>
      <c r="AK177"/>
      <c r="AL177"/>
      <c r="AM177"/>
      <c r="AN177" s="86"/>
    </row>
    <row r="178" spans="33:40" x14ac:dyDescent="0.3">
      <c r="AG178"/>
      <c r="AH178"/>
      <c r="AI178"/>
      <c r="AJ178"/>
      <c r="AK178"/>
      <c r="AL178"/>
      <c r="AM178"/>
      <c r="AN178" s="86"/>
    </row>
    <row r="179" spans="33:40" x14ac:dyDescent="0.3">
      <c r="AG179"/>
      <c r="AH179"/>
      <c r="AI179"/>
      <c r="AJ179"/>
      <c r="AK179"/>
      <c r="AL179"/>
      <c r="AM179"/>
      <c r="AN179" s="86"/>
    </row>
    <row r="180" spans="33:40" x14ac:dyDescent="0.3">
      <c r="AG180"/>
      <c r="AH180"/>
      <c r="AI180"/>
      <c r="AJ180"/>
      <c r="AK180"/>
      <c r="AL180"/>
      <c r="AM180"/>
      <c r="AN180" s="86"/>
    </row>
    <row r="181" spans="33:40" x14ac:dyDescent="0.3">
      <c r="AG181"/>
      <c r="AH181"/>
      <c r="AI181"/>
      <c r="AJ181"/>
      <c r="AK181"/>
      <c r="AL181"/>
      <c r="AM181"/>
      <c r="AN181" s="86"/>
    </row>
    <row r="182" spans="33:40" x14ac:dyDescent="0.3">
      <c r="AG182"/>
      <c r="AH182"/>
      <c r="AI182"/>
      <c r="AJ182"/>
      <c r="AK182"/>
      <c r="AL182"/>
      <c r="AM182"/>
      <c r="AN182" s="86"/>
    </row>
    <row r="183" spans="33:40" x14ac:dyDescent="0.3">
      <c r="AG183"/>
      <c r="AH183"/>
      <c r="AI183"/>
      <c r="AJ183"/>
      <c r="AK183"/>
      <c r="AL183"/>
      <c r="AM183"/>
      <c r="AN183" s="86"/>
    </row>
    <row r="184" spans="33:40" x14ac:dyDescent="0.3">
      <c r="AG184"/>
      <c r="AH184"/>
      <c r="AI184"/>
      <c r="AJ184"/>
      <c r="AK184"/>
      <c r="AL184"/>
      <c r="AM184"/>
      <c r="AN184" s="86"/>
    </row>
    <row r="185" spans="33:40" x14ac:dyDescent="0.3">
      <c r="AG185"/>
      <c r="AH185"/>
      <c r="AI185"/>
      <c r="AJ185"/>
      <c r="AK185"/>
      <c r="AL185"/>
      <c r="AM185"/>
      <c r="AN185" s="86"/>
    </row>
    <row r="186" spans="33:40" x14ac:dyDescent="0.3">
      <c r="AG186"/>
      <c r="AH186"/>
      <c r="AI186"/>
      <c r="AJ186"/>
      <c r="AK186"/>
      <c r="AL186"/>
      <c r="AM186"/>
      <c r="AN186" s="86"/>
    </row>
    <row r="187" spans="33:40" x14ac:dyDescent="0.3">
      <c r="AG187"/>
      <c r="AH187"/>
      <c r="AI187"/>
      <c r="AJ187"/>
      <c r="AK187"/>
      <c r="AL187"/>
      <c r="AM187"/>
      <c r="AN187" s="86"/>
    </row>
    <row r="188" spans="33:40" x14ac:dyDescent="0.3">
      <c r="AG188"/>
      <c r="AH188"/>
      <c r="AI188"/>
      <c r="AJ188"/>
      <c r="AK188"/>
      <c r="AL188"/>
      <c r="AM188"/>
      <c r="AN188" s="86"/>
    </row>
    <row r="189" spans="33:40" x14ac:dyDescent="0.3">
      <c r="AG189"/>
      <c r="AH189"/>
      <c r="AI189"/>
      <c r="AJ189"/>
      <c r="AK189"/>
      <c r="AL189"/>
      <c r="AM189"/>
      <c r="AN189" s="86"/>
    </row>
    <row r="190" spans="33:40" x14ac:dyDescent="0.3">
      <c r="AG190"/>
      <c r="AH190"/>
      <c r="AI190"/>
      <c r="AJ190"/>
      <c r="AK190"/>
      <c r="AL190"/>
      <c r="AM190"/>
    </row>
    <row r="191" spans="33:40" x14ac:dyDescent="0.3">
      <c r="AG191"/>
      <c r="AH191"/>
      <c r="AI191"/>
      <c r="AJ191"/>
    </row>
    <row r="192" spans="33:40" x14ac:dyDescent="0.3">
      <c r="AG192"/>
      <c r="AH192"/>
      <c r="AI192"/>
      <c r="AJ192"/>
    </row>
  </sheetData>
  <sheetProtection sheet="1" objects="1" scenarios="1"/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16" workbookViewId="0">
      <selection activeCell="G51" sqref="G51"/>
    </sheetView>
  </sheetViews>
  <sheetFormatPr defaultRowHeight="14.4" x14ac:dyDescent="0.3"/>
  <cols>
    <col min="1" max="2" width="10.33203125" bestFit="1" customWidth="1"/>
  </cols>
  <sheetData>
    <row r="1" spans="1:19" x14ac:dyDescent="0.3">
      <c r="B1" t="s">
        <v>539</v>
      </c>
      <c r="C1" t="s">
        <v>537</v>
      </c>
      <c r="D1" t="s">
        <v>565</v>
      </c>
      <c r="E1" t="s">
        <v>540</v>
      </c>
      <c r="F1" t="s">
        <v>533</v>
      </c>
      <c r="G1" t="s">
        <v>566</v>
      </c>
      <c r="H1" t="s">
        <v>535</v>
      </c>
      <c r="I1" t="s">
        <v>567</v>
      </c>
      <c r="J1" t="s">
        <v>568</v>
      </c>
      <c r="K1" t="s">
        <v>569</v>
      </c>
      <c r="L1" t="s">
        <v>570</v>
      </c>
      <c r="M1" t="s">
        <v>536</v>
      </c>
      <c r="N1" t="s">
        <v>571</v>
      </c>
      <c r="O1" t="s">
        <v>538</v>
      </c>
      <c r="P1" t="s">
        <v>572</v>
      </c>
      <c r="Q1" t="s">
        <v>573</v>
      </c>
      <c r="R1" t="s">
        <v>534</v>
      </c>
      <c r="S1" t="s">
        <v>574</v>
      </c>
    </row>
    <row r="2" spans="1:19" x14ac:dyDescent="0.3">
      <c r="A2" t="s">
        <v>539</v>
      </c>
      <c r="B2">
        <v>1</v>
      </c>
      <c r="C2">
        <v>-0.64815912786399998</v>
      </c>
      <c r="D2">
        <v>-0.68756521267699999</v>
      </c>
      <c r="E2">
        <v>0.879167101625</v>
      </c>
      <c r="F2">
        <v>-0.44768143833000001</v>
      </c>
      <c r="G2">
        <v>-0.64709005200500003</v>
      </c>
      <c r="I2">
        <v>-0.69163254529100004</v>
      </c>
      <c r="J2">
        <v>-0.74351999597399998</v>
      </c>
      <c r="K2">
        <v>-0.61627787389900002</v>
      </c>
      <c r="L2">
        <v>-0.70992360160099999</v>
      </c>
      <c r="M2">
        <v>-0.70710857141799999</v>
      </c>
      <c r="N2">
        <v>-0.59433982433099997</v>
      </c>
      <c r="O2">
        <v>0.99966189529100002</v>
      </c>
      <c r="P2">
        <v>-0.64709099119199998</v>
      </c>
      <c r="Q2">
        <v>-0.633629397692</v>
      </c>
      <c r="R2">
        <v>-0.58015535067599999</v>
      </c>
      <c r="S2">
        <v>-0.54836591871499996</v>
      </c>
    </row>
    <row r="3" spans="1:19" x14ac:dyDescent="0.3">
      <c r="A3" t="s">
        <v>537</v>
      </c>
      <c r="B3">
        <v>-0.64815912786399998</v>
      </c>
      <c r="C3">
        <v>1</v>
      </c>
      <c r="D3">
        <v>0.98962399811900004</v>
      </c>
      <c r="E3">
        <v>-0.72063023535299997</v>
      </c>
      <c r="F3">
        <v>0.76925076458700004</v>
      </c>
      <c r="G3">
        <v>0.99992539567399996</v>
      </c>
      <c r="I3">
        <v>0.98998913826900004</v>
      </c>
      <c r="J3">
        <v>0.914861554864</v>
      </c>
      <c r="K3">
        <v>0.86235401953599999</v>
      </c>
      <c r="L3">
        <v>0.97027386834200002</v>
      </c>
      <c r="M3">
        <v>0.97013756994199996</v>
      </c>
      <c r="N3">
        <v>0.98018484508100001</v>
      </c>
      <c r="O3">
        <v>-0.63265919088199996</v>
      </c>
      <c r="P3">
        <v>0.99992540791100004</v>
      </c>
      <c r="Q3">
        <v>0.96495586941400002</v>
      </c>
      <c r="R3">
        <v>0.795531478086</v>
      </c>
      <c r="S3">
        <v>0.822123709993</v>
      </c>
    </row>
    <row r="4" spans="1:19" x14ac:dyDescent="0.3">
      <c r="A4" t="s">
        <v>565</v>
      </c>
      <c r="B4">
        <v>-0.68756521267699999</v>
      </c>
      <c r="C4">
        <v>0.98962399811900004</v>
      </c>
      <c r="D4">
        <v>1</v>
      </c>
      <c r="E4">
        <v>-0.70462249315799996</v>
      </c>
      <c r="F4">
        <v>0.73738028803199995</v>
      </c>
      <c r="G4">
        <v>0.99066890584400003</v>
      </c>
      <c r="I4">
        <v>0.99993959722799997</v>
      </c>
      <c r="J4">
        <v>0.93299711186000001</v>
      </c>
      <c r="K4">
        <v>0.82028495862299999</v>
      </c>
      <c r="L4">
        <v>0.98035480530100005</v>
      </c>
      <c r="M4">
        <v>0.980522834344</v>
      </c>
      <c r="N4">
        <v>0.96771747857400003</v>
      </c>
      <c r="O4">
        <v>-0.671297193422</v>
      </c>
      <c r="P4">
        <v>0.99066904098800002</v>
      </c>
      <c r="Q4">
        <v>0.945809221521</v>
      </c>
      <c r="R4">
        <v>0.74457432187399997</v>
      </c>
      <c r="S4">
        <v>0.774337939142</v>
      </c>
    </row>
    <row r="5" spans="1:19" x14ac:dyDescent="0.3">
      <c r="A5" t="s">
        <v>540</v>
      </c>
      <c r="B5">
        <v>0.879167101625</v>
      </c>
      <c r="C5">
        <v>-0.72063023535299997</v>
      </c>
      <c r="D5">
        <v>-0.70462249315799996</v>
      </c>
      <c r="E5">
        <v>1</v>
      </c>
      <c r="F5">
        <v>-0.65149125951700004</v>
      </c>
      <c r="G5">
        <v>-0.71705753213800005</v>
      </c>
      <c r="I5">
        <v>-0.70887176779000005</v>
      </c>
      <c r="J5">
        <v>-0.677050754945</v>
      </c>
      <c r="K5">
        <v>-0.84352190329700005</v>
      </c>
      <c r="L5">
        <v>-0.68546211707000004</v>
      </c>
      <c r="M5">
        <v>-0.68207797622499999</v>
      </c>
      <c r="N5">
        <v>-0.640905415782</v>
      </c>
      <c r="O5">
        <v>0.87888717328900001</v>
      </c>
      <c r="P5">
        <v>-0.71705783469100004</v>
      </c>
      <c r="Q5">
        <v>-0.77130071506300002</v>
      </c>
      <c r="R5">
        <v>-0.86292161115199995</v>
      </c>
      <c r="S5">
        <v>-0.81004274834500001</v>
      </c>
    </row>
    <row r="6" spans="1:19" x14ac:dyDescent="0.3">
      <c r="A6" t="s">
        <v>533</v>
      </c>
      <c r="B6">
        <v>-0.44768143833000001</v>
      </c>
      <c r="C6">
        <v>0.76925076458700004</v>
      </c>
      <c r="D6">
        <v>0.73738028803199995</v>
      </c>
      <c r="E6">
        <v>-0.65149125951700004</v>
      </c>
      <c r="F6">
        <v>1</v>
      </c>
      <c r="G6">
        <v>0.76730063096199996</v>
      </c>
      <c r="I6">
        <v>0.73585992090899999</v>
      </c>
      <c r="J6">
        <v>0.52649015420400003</v>
      </c>
      <c r="K6">
        <v>0.90863405720699997</v>
      </c>
      <c r="L6">
        <v>0.63671728712800002</v>
      </c>
      <c r="M6">
        <v>0.63600958024700005</v>
      </c>
      <c r="N6">
        <v>0.650293848437</v>
      </c>
      <c r="O6">
        <v>-0.43757954451499997</v>
      </c>
      <c r="P6">
        <v>0.76730071866799998</v>
      </c>
      <c r="Q6">
        <v>0.89281125818100004</v>
      </c>
      <c r="R6">
        <v>0.86320923591599996</v>
      </c>
      <c r="S6">
        <v>0.92103885705900002</v>
      </c>
    </row>
    <row r="7" spans="1:19" x14ac:dyDescent="0.3">
      <c r="A7" t="s">
        <v>566</v>
      </c>
      <c r="B7">
        <v>-0.64709005200500003</v>
      </c>
      <c r="C7">
        <v>0.99992539567399996</v>
      </c>
      <c r="D7">
        <v>0.99066890584400003</v>
      </c>
      <c r="E7">
        <v>-0.71705753213800005</v>
      </c>
      <c r="F7">
        <v>0.76730063096199996</v>
      </c>
      <c r="G7">
        <v>1</v>
      </c>
      <c r="I7">
        <v>0.99094484538899996</v>
      </c>
      <c r="J7">
        <v>0.91487750104499999</v>
      </c>
      <c r="K7">
        <v>0.85904749377</v>
      </c>
      <c r="L7">
        <v>0.97126841620000004</v>
      </c>
      <c r="M7">
        <v>0.971187501605</v>
      </c>
      <c r="N7">
        <v>0.98045551758600002</v>
      </c>
      <c r="O7">
        <v>-0.63138642091300001</v>
      </c>
      <c r="P7">
        <v>0.99999999996900002</v>
      </c>
      <c r="Q7">
        <v>0.96410892786400004</v>
      </c>
      <c r="R7">
        <v>0.79168251469499995</v>
      </c>
      <c r="S7">
        <v>0.81901167540800002</v>
      </c>
    </row>
    <row r="8" spans="1:19" x14ac:dyDescent="0.3">
      <c r="A8" t="s">
        <v>535</v>
      </c>
    </row>
    <row r="9" spans="1:19" x14ac:dyDescent="0.3">
      <c r="A9" t="s">
        <v>567</v>
      </c>
      <c r="B9">
        <v>-0.69163254529100004</v>
      </c>
      <c r="C9">
        <v>0.98998913826900004</v>
      </c>
      <c r="D9">
        <v>0.99993959722799997</v>
      </c>
      <c r="E9">
        <v>-0.70887176779000005</v>
      </c>
      <c r="F9">
        <v>0.73585992090899999</v>
      </c>
      <c r="G9">
        <v>0.99094484538899996</v>
      </c>
      <c r="I9">
        <v>1</v>
      </c>
      <c r="J9">
        <v>0.93605425298099998</v>
      </c>
      <c r="K9">
        <v>0.82123704343699999</v>
      </c>
      <c r="L9">
        <v>0.98112359378000003</v>
      </c>
      <c r="M9">
        <v>0.98124153531799996</v>
      </c>
      <c r="N9">
        <v>0.96859213954900003</v>
      </c>
      <c r="O9">
        <v>-0.675520232512</v>
      </c>
      <c r="P9">
        <v>0.99094498665099995</v>
      </c>
      <c r="Q9">
        <v>0.94542343927899997</v>
      </c>
      <c r="R9">
        <v>0.74598663181299996</v>
      </c>
      <c r="S9">
        <v>0.77443579500399995</v>
      </c>
    </row>
    <row r="10" spans="1:19" x14ac:dyDescent="0.3">
      <c r="A10" t="s">
        <v>568</v>
      </c>
      <c r="B10">
        <v>-0.74351999597399998</v>
      </c>
      <c r="C10">
        <v>0.914861554864</v>
      </c>
      <c r="D10">
        <v>0.93299711186000001</v>
      </c>
      <c r="E10">
        <v>-0.677050754945</v>
      </c>
      <c r="F10">
        <v>0.52649015420400003</v>
      </c>
      <c r="G10">
        <v>0.91487750104499999</v>
      </c>
      <c r="I10">
        <v>0.93605425298099998</v>
      </c>
      <c r="J10">
        <v>1</v>
      </c>
      <c r="K10">
        <v>0.66666477527099999</v>
      </c>
      <c r="L10">
        <v>0.958454162502</v>
      </c>
      <c r="M10">
        <v>0.95791867069100001</v>
      </c>
      <c r="N10">
        <v>0.93912743657599995</v>
      </c>
      <c r="O10">
        <v>-0.73090873569000003</v>
      </c>
      <c r="P10">
        <v>0.91487794038299997</v>
      </c>
      <c r="Q10">
        <v>0.80374225490700002</v>
      </c>
      <c r="R10">
        <v>0.59188571918499999</v>
      </c>
      <c r="S10">
        <v>0.58575689671700004</v>
      </c>
    </row>
    <row r="11" spans="1:19" x14ac:dyDescent="0.3">
      <c r="A11" t="s">
        <v>569</v>
      </c>
      <c r="B11">
        <v>-0.61627787389900002</v>
      </c>
      <c r="C11">
        <v>0.86235401953599999</v>
      </c>
      <c r="D11">
        <v>0.82028495862299999</v>
      </c>
      <c r="E11">
        <v>-0.84352190329700005</v>
      </c>
      <c r="F11">
        <v>0.90863405720699997</v>
      </c>
      <c r="G11">
        <v>0.85904749377</v>
      </c>
      <c r="I11">
        <v>0.82123704343699999</v>
      </c>
      <c r="J11">
        <v>0.66666477527099999</v>
      </c>
      <c r="K11">
        <v>1</v>
      </c>
      <c r="L11">
        <v>0.751395557248</v>
      </c>
      <c r="M11">
        <v>0.74955525119800004</v>
      </c>
      <c r="N11">
        <v>0.76638921894900003</v>
      </c>
      <c r="O11">
        <v>-0.60803902621399997</v>
      </c>
      <c r="P11">
        <v>0.85904735354899997</v>
      </c>
      <c r="Q11">
        <v>0.95025381280599996</v>
      </c>
      <c r="R11">
        <v>0.97620463365400001</v>
      </c>
      <c r="S11">
        <v>0.99114051556799998</v>
      </c>
    </row>
    <row r="12" spans="1:19" x14ac:dyDescent="0.3">
      <c r="A12" t="s">
        <v>570</v>
      </c>
      <c r="B12">
        <v>-0.70992360160099999</v>
      </c>
      <c r="C12">
        <v>0.97027386834200002</v>
      </c>
      <c r="D12">
        <v>0.98035480530100005</v>
      </c>
      <c r="E12">
        <v>-0.68546211707000004</v>
      </c>
      <c r="F12">
        <v>0.63671728712800002</v>
      </c>
      <c r="G12">
        <v>0.97126841620000004</v>
      </c>
      <c r="I12">
        <v>0.98112359378000003</v>
      </c>
      <c r="J12">
        <v>0.958454162502</v>
      </c>
      <c r="K12">
        <v>0.751395557248</v>
      </c>
      <c r="L12">
        <v>1</v>
      </c>
      <c r="M12">
        <v>0.99998200805000004</v>
      </c>
      <c r="N12">
        <v>0.97292824241999998</v>
      </c>
      <c r="O12">
        <v>-0.694589553478</v>
      </c>
      <c r="P12">
        <v>0.97126854486500003</v>
      </c>
      <c r="Q12">
        <v>0.89344823017200004</v>
      </c>
      <c r="R12">
        <v>0.66891663688500003</v>
      </c>
      <c r="S12">
        <v>0.69614376295799996</v>
      </c>
    </row>
    <row r="13" spans="1:19" x14ac:dyDescent="0.3">
      <c r="A13" t="s">
        <v>536</v>
      </c>
      <c r="B13">
        <v>-0.70710857141799999</v>
      </c>
      <c r="C13">
        <v>0.97013756994199996</v>
      </c>
      <c r="D13">
        <v>0.980522834344</v>
      </c>
      <c r="E13">
        <v>-0.68207797622499999</v>
      </c>
      <c r="F13">
        <v>0.63600958024700005</v>
      </c>
      <c r="G13">
        <v>0.971187501605</v>
      </c>
      <c r="I13">
        <v>0.98124153531799996</v>
      </c>
      <c r="J13">
        <v>0.95791867069100001</v>
      </c>
      <c r="K13">
        <v>0.74955525119800004</v>
      </c>
      <c r="L13">
        <v>0.99998200805000004</v>
      </c>
      <c r="M13">
        <v>1</v>
      </c>
      <c r="N13">
        <v>0.97312420946</v>
      </c>
      <c r="O13">
        <v>-0.69166819831600002</v>
      </c>
      <c r="P13">
        <v>0.97118762503</v>
      </c>
      <c r="Q13">
        <v>0.89288527335699996</v>
      </c>
      <c r="R13">
        <v>0.66682013001700002</v>
      </c>
      <c r="S13">
        <v>0.69450850427499999</v>
      </c>
    </row>
    <row r="14" spans="1:19" x14ac:dyDescent="0.3">
      <c r="A14" t="s">
        <v>571</v>
      </c>
      <c r="B14">
        <v>-0.59433982433099997</v>
      </c>
      <c r="C14">
        <v>0.98018484508100001</v>
      </c>
      <c r="D14">
        <v>0.96771747857400003</v>
      </c>
      <c r="E14">
        <v>-0.640905415782</v>
      </c>
      <c r="F14">
        <v>0.650293848437</v>
      </c>
      <c r="G14">
        <v>0.98045551758600002</v>
      </c>
      <c r="I14">
        <v>0.96859213954900003</v>
      </c>
      <c r="J14">
        <v>0.93912743657599995</v>
      </c>
      <c r="K14">
        <v>0.76638921894900003</v>
      </c>
      <c r="L14">
        <v>0.97292824241999998</v>
      </c>
      <c r="M14">
        <v>0.97312420946</v>
      </c>
      <c r="N14">
        <v>1</v>
      </c>
      <c r="O14">
        <v>-0.57820035578700002</v>
      </c>
      <c r="P14">
        <v>0.98045548541399996</v>
      </c>
      <c r="Q14">
        <v>0.89712929880699999</v>
      </c>
      <c r="R14">
        <v>0.69648035738799996</v>
      </c>
      <c r="S14">
        <v>0.71569108765099998</v>
      </c>
    </row>
    <row r="15" spans="1:19" x14ac:dyDescent="0.3">
      <c r="A15" t="s">
        <v>538</v>
      </c>
      <c r="B15">
        <v>0.99966189529100002</v>
      </c>
      <c r="C15">
        <v>-0.63265919088199996</v>
      </c>
      <c r="D15">
        <v>-0.671297193422</v>
      </c>
      <c r="E15">
        <v>0.87888717328900001</v>
      </c>
      <c r="F15">
        <v>-0.43757954451499997</v>
      </c>
      <c r="G15">
        <v>-0.63138642091300001</v>
      </c>
      <c r="I15">
        <v>-0.675520232512</v>
      </c>
      <c r="J15">
        <v>-0.73090873569000003</v>
      </c>
      <c r="K15">
        <v>-0.60803902621399997</v>
      </c>
      <c r="L15">
        <v>-0.694589553478</v>
      </c>
      <c r="M15">
        <v>-0.69166819831600002</v>
      </c>
      <c r="N15">
        <v>-0.57820035578700002</v>
      </c>
      <c r="O15">
        <v>1</v>
      </c>
      <c r="P15">
        <v>-0.63138739873299998</v>
      </c>
      <c r="Q15">
        <v>-0.61980265621499997</v>
      </c>
      <c r="R15">
        <v>-0.57397646145500003</v>
      </c>
      <c r="S15">
        <v>-0.54000352652899997</v>
      </c>
    </row>
    <row r="16" spans="1:19" x14ac:dyDescent="0.3">
      <c r="A16" t="s">
        <v>572</v>
      </c>
      <c r="B16">
        <v>-0.64709099119199998</v>
      </c>
      <c r="C16">
        <v>0.99992540791100004</v>
      </c>
      <c r="D16">
        <v>0.99066904098800002</v>
      </c>
      <c r="E16">
        <v>-0.71705783469100004</v>
      </c>
      <c r="F16">
        <v>0.76730071866799998</v>
      </c>
      <c r="G16">
        <v>0.99999999996900002</v>
      </c>
      <c r="I16">
        <v>0.99094498665099995</v>
      </c>
      <c r="J16">
        <v>0.91487794038299997</v>
      </c>
      <c r="K16">
        <v>0.85904735354899997</v>
      </c>
      <c r="L16">
        <v>0.97126854486500003</v>
      </c>
      <c r="M16">
        <v>0.97118762503</v>
      </c>
      <c r="N16">
        <v>0.98045548541399996</v>
      </c>
      <c r="O16">
        <v>-0.63138739873299998</v>
      </c>
      <c r="P16">
        <v>1</v>
      </c>
      <c r="Q16">
        <v>0.96410886235100002</v>
      </c>
      <c r="R16">
        <v>0.79168234579999996</v>
      </c>
      <c r="S16">
        <v>0.81901134380200002</v>
      </c>
    </row>
    <row r="17" spans="1:20" x14ac:dyDescent="0.3">
      <c r="A17" t="s">
        <v>573</v>
      </c>
      <c r="B17">
        <v>-0.633629397692</v>
      </c>
      <c r="C17">
        <v>0.96495586941400002</v>
      </c>
      <c r="D17">
        <v>0.945809221521</v>
      </c>
      <c r="E17">
        <v>-0.77130071506300002</v>
      </c>
      <c r="F17">
        <v>0.89281125818100004</v>
      </c>
      <c r="G17">
        <v>0.96410892786400004</v>
      </c>
      <c r="I17">
        <v>0.94542343927899997</v>
      </c>
      <c r="J17">
        <v>0.80374225490700002</v>
      </c>
      <c r="K17">
        <v>0.95025381280599996</v>
      </c>
      <c r="L17">
        <v>0.89344823017200004</v>
      </c>
      <c r="M17">
        <v>0.89288527335699996</v>
      </c>
      <c r="N17">
        <v>0.89712929880699999</v>
      </c>
      <c r="O17">
        <v>-0.61980265621499997</v>
      </c>
      <c r="P17">
        <v>0.96410886235100002</v>
      </c>
      <c r="Q17">
        <v>1</v>
      </c>
      <c r="R17">
        <v>0.89724525176199998</v>
      </c>
      <c r="S17">
        <v>0.93212785710799995</v>
      </c>
    </row>
    <row r="18" spans="1:20" x14ac:dyDescent="0.3">
      <c r="A18" t="s">
        <v>534</v>
      </c>
      <c r="B18">
        <v>-0.58015535067599999</v>
      </c>
      <c r="C18">
        <v>0.795531478086</v>
      </c>
      <c r="D18">
        <v>0.74457432187399997</v>
      </c>
      <c r="E18">
        <v>-0.86292161115199995</v>
      </c>
      <c r="F18">
        <v>0.86320923591599996</v>
      </c>
      <c r="G18">
        <v>0.79168251469499995</v>
      </c>
      <c r="I18">
        <v>0.74598663181299996</v>
      </c>
      <c r="J18">
        <v>0.59188571918499999</v>
      </c>
      <c r="K18">
        <v>0.97620463365400001</v>
      </c>
      <c r="L18">
        <v>0.66891663688500003</v>
      </c>
      <c r="M18">
        <v>0.66682013001700002</v>
      </c>
      <c r="N18">
        <v>0.69648035738799996</v>
      </c>
      <c r="O18">
        <v>-0.57397646145500003</v>
      </c>
      <c r="P18">
        <v>0.79168234579999996</v>
      </c>
      <c r="Q18">
        <v>0.89724525176199998</v>
      </c>
      <c r="R18">
        <v>1</v>
      </c>
      <c r="S18">
        <v>0.97833913127700001</v>
      </c>
    </row>
    <row r="19" spans="1:20" x14ac:dyDescent="0.3">
      <c r="A19" t="s">
        <v>574</v>
      </c>
      <c r="B19">
        <v>-0.54836591871499996</v>
      </c>
      <c r="C19">
        <v>0.822123709993</v>
      </c>
      <c r="D19">
        <v>0.774337939142</v>
      </c>
      <c r="E19">
        <v>-0.81004274834500001</v>
      </c>
      <c r="F19">
        <v>0.92103885705900002</v>
      </c>
      <c r="G19">
        <v>0.81901167540800002</v>
      </c>
      <c r="I19">
        <v>0.77443579500399995</v>
      </c>
      <c r="J19">
        <v>0.58575689671700004</v>
      </c>
      <c r="K19">
        <v>0.99114051556799998</v>
      </c>
      <c r="L19">
        <v>0.69614376295799996</v>
      </c>
      <c r="M19">
        <v>0.69450850427499999</v>
      </c>
      <c r="N19">
        <v>0.71569108765099998</v>
      </c>
      <c r="O19">
        <v>-0.54000352652899997</v>
      </c>
      <c r="P19">
        <v>0.81901134380200002</v>
      </c>
      <c r="Q19">
        <v>0.93212785710799995</v>
      </c>
      <c r="R19">
        <v>0.97833913127700001</v>
      </c>
      <c r="S19">
        <v>1</v>
      </c>
    </row>
    <row r="25" spans="1:20" x14ac:dyDescent="0.3">
      <c r="A25" s="90"/>
      <c r="B25" s="90" t="s">
        <v>572</v>
      </c>
      <c r="C25" s="90" t="s">
        <v>567</v>
      </c>
      <c r="D25" s="90" t="s">
        <v>573</v>
      </c>
      <c r="E25" s="90" t="s">
        <v>571</v>
      </c>
      <c r="F25" s="90" t="s">
        <v>566</v>
      </c>
      <c r="G25" s="90" t="s">
        <v>570</v>
      </c>
      <c r="L25" t="s">
        <v>565</v>
      </c>
      <c r="M25" t="s">
        <v>567</v>
      </c>
      <c r="N25" t="s">
        <v>568</v>
      </c>
      <c r="O25" t="s">
        <v>570</v>
      </c>
      <c r="P25" t="s">
        <v>571</v>
      </c>
      <c r="Q25" t="s">
        <v>572</v>
      </c>
      <c r="R25" t="s">
        <v>573</v>
      </c>
      <c r="S25" t="s">
        <v>534</v>
      </c>
      <c r="T25" t="s">
        <v>574</v>
      </c>
    </row>
    <row r="26" spans="1:20" x14ac:dyDescent="0.3">
      <c r="A26" s="90" t="s">
        <v>565</v>
      </c>
      <c r="B26" s="91">
        <v>0.99066904098800002</v>
      </c>
      <c r="C26" s="91">
        <v>0.99993959722799997</v>
      </c>
      <c r="D26" s="91">
        <v>0.945809221521</v>
      </c>
      <c r="E26" s="91">
        <v>0.96771747857400003</v>
      </c>
      <c r="F26" s="91">
        <v>0.99066890584400003</v>
      </c>
      <c r="G26" s="91">
        <v>0.98035480530100005</v>
      </c>
      <c r="K26" t="s">
        <v>565</v>
      </c>
      <c r="L26" s="12">
        <v>1</v>
      </c>
      <c r="M26" s="12">
        <v>0.99993959722799997</v>
      </c>
      <c r="N26" s="12">
        <v>0.93299711186000001</v>
      </c>
      <c r="O26" s="12">
        <v>0.98035480530100005</v>
      </c>
      <c r="P26" s="12">
        <v>0.96771747857400003</v>
      </c>
      <c r="Q26" s="12">
        <v>0.99066904098800002</v>
      </c>
      <c r="R26" s="12">
        <v>0.945809221521</v>
      </c>
      <c r="S26" s="12">
        <v>0.74457432187399997</v>
      </c>
      <c r="T26" s="12">
        <v>0.774337939142</v>
      </c>
    </row>
    <row r="27" spans="1:20" x14ac:dyDescent="0.3">
      <c r="A27" s="90" t="s">
        <v>574</v>
      </c>
      <c r="B27" s="91">
        <v>0.81901134380200002</v>
      </c>
      <c r="C27" s="91">
        <v>0.77443579500399995</v>
      </c>
      <c r="D27" s="91">
        <v>0.93212785710799995</v>
      </c>
      <c r="E27" s="91">
        <v>0.71569108765099998</v>
      </c>
      <c r="F27" s="91">
        <v>0.81901167540800002</v>
      </c>
      <c r="G27" s="91">
        <v>0.69614376295799996</v>
      </c>
      <c r="K27" t="s">
        <v>567</v>
      </c>
      <c r="L27" s="12">
        <v>0.99993959722799997</v>
      </c>
      <c r="M27" s="12">
        <v>1</v>
      </c>
      <c r="N27" s="12">
        <v>0.93605425298099998</v>
      </c>
      <c r="O27" s="12">
        <v>0.98112359378000003</v>
      </c>
      <c r="P27" s="12">
        <v>0.96859213954900003</v>
      </c>
      <c r="Q27" s="12">
        <v>0.99094498665099995</v>
      </c>
      <c r="R27" s="12">
        <v>0.94542343927899997</v>
      </c>
      <c r="S27" s="12">
        <v>0.74598663181299996</v>
      </c>
      <c r="T27" s="12">
        <v>0.77443579500399995</v>
      </c>
    </row>
    <row r="28" spans="1:20" x14ac:dyDescent="0.3">
      <c r="A28" s="90" t="s">
        <v>568</v>
      </c>
      <c r="B28" s="91">
        <v>0.91487794038299997</v>
      </c>
      <c r="C28" s="91">
        <v>0.93605425298099998</v>
      </c>
      <c r="D28" s="91">
        <v>0.80374225490700002</v>
      </c>
      <c r="E28" s="91">
        <v>0.93912743657599995</v>
      </c>
      <c r="F28" s="91">
        <v>0.91487750104499999</v>
      </c>
      <c r="G28" s="91">
        <v>0.958454162502</v>
      </c>
      <c r="K28" t="s">
        <v>568</v>
      </c>
      <c r="L28" s="12">
        <v>0.93299711186000001</v>
      </c>
      <c r="M28" s="12">
        <v>0.93605425298099998</v>
      </c>
      <c r="N28" s="12">
        <v>1</v>
      </c>
      <c r="O28" s="12">
        <v>0.958454162502</v>
      </c>
      <c r="P28" s="12">
        <v>0.93912743657599995</v>
      </c>
      <c r="Q28" s="12">
        <v>0.91487794038299997</v>
      </c>
      <c r="R28" s="12">
        <v>0.80374225490700002</v>
      </c>
      <c r="S28" s="12">
        <v>0.59188571918499999</v>
      </c>
      <c r="T28" s="12">
        <v>0.58575689671700004</v>
      </c>
    </row>
    <row r="29" spans="1:20" x14ac:dyDescent="0.3">
      <c r="A29" s="90" t="s">
        <v>534</v>
      </c>
      <c r="B29" s="91">
        <v>0.79168234579999996</v>
      </c>
      <c r="C29" s="91">
        <v>0.74598663181299996</v>
      </c>
      <c r="D29" s="91">
        <v>0.89724525176199998</v>
      </c>
      <c r="E29" s="91">
        <v>0.69648035738799996</v>
      </c>
      <c r="F29" s="91">
        <v>0.79168251469499995</v>
      </c>
      <c r="G29" s="91">
        <v>0.66891663688500003</v>
      </c>
      <c r="K29" t="s">
        <v>570</v>
      </c>
      <c r="L29" s="12">
        <v>0.98035480530100005</v>
      </c>
      <c r="M29" s="12">
        <v>0.98112359378000003</v>
      </c>
      <c r="N29" s="12">
        <v>0.958454162502</v>
      </c>
      <c r="O29" s="12">
        <v>1</v>
      </c>
      <c r="P29" s="12">
        <v>0.97292824241999998</v>
      </c>
      <c r="Q29" s="12">
        <v>0.97126854486500003</v>
      </c>
      <c r="R29" s="12">
        <v>0.89344823017200004</v>
      </c>
      <c r="S29" s="12">
        <v>0.66891663688500003</v>
      </c>
      <c r="T29" s="12">
        <v>0.69614376295799996</v>
      </c>
    </row>
    <row r="30" spans="1:20" x14ac:dyDescent="0.3">
      <c r="K30" t="s">
        <v>571</v>
      </c>
      <c r="L30" s="12">
        <v>0.96771747857400003</v>
      </c>
      <c r="M30" s="12">
        <v>0.96859213954900003</v>
      </c>
      <c r="N30" s="12">
        <v>0.93912743657599995</v>
      </c>
      <c r="O30" s="12">
        <v>0.97292824241999998</v>
      </c>
      <c r="P30" s="12">
        <v>1</v>
      </c>
      <c r="Q30" s="12">
        <v>0.98045548541399996</v>
      </c>
      <c r="R30" s="12">
        <v>0.89712929880699999</v>
      </c>
      <c r="S30" s="12">
        <v>0.69648035738799996</v>
      </c>
      <c r="T30" s="12">
        <v>0.71569108765099998</v>
      </c>
    </row>
    <row r="31" spans="1:20" x14ac:dyDescent="0.3">
      <c r="K31" t="s">
        <v>572</v>
      </c>
      <c r="L31" s="12">
        <v>0.99066904098800002</v>
      </c>
      <c r="M31" s="12">
        <v>0.99094498665099995</v>
      </c>
      <c r="N31" s="12">
        <v>0.91487794038299997</v>
      </c>
      <c r="O31" s="12">
        <v>0.97126854486500003</v>
      </c>
      <c r="P31" s="12">
        <v>0.98045548541399996</v>
      </c>
      <c r="Q31" s="12">
        <v>1</v>
      </c>
      <c r="R31" s="12">
        <v>0.96410886235100002</v>
      </c>
      <c r="S31" s="12">
        <v>0.79168234579999996</v>
      </c>
      <c r="T31" s="12">
        <v>0.81901134380200002</v>
      </c>
    </row>
    <row r="32" spans="1:20" x14ac:dyDescent="0.3">
      <c r="A32" t="s">
        <v>541</v>
      </c>
      <c r="K32" t="s">
        <v>573</v>
      </c>
      <c r="L32" s="12">
        <v>0.945809221521</v>
      </c>
      <c r="M32" s="12">
        <v>0.94542343927899997</v>
      </c>
      <c r="N32" s="12">
        <v>0.80374225490700002</v>
      </c>
      <c r="O32" s="12">
        <v>0.89344823017200004</v>
      </c>
      <c r="P32" s="12">
        <v>0.89712929880699999</v>
      </c>
      <c r="Q32" s="12">
        <v>0.96410886235100002</v>
      </c>
      <c r="R32" s="12">
        <v>1</v>
      </c>
      <c r="S32" s="12">
        <v>0.89724525176199998</v>
      </c>
      <c r="T32" s="12">
        <v>0.93212785710799995</v>
      </c>
    </row>
    <row r="33" spans="1:20" x14ac:dyDescent="0.3">
      <c r="A33" t="s">
        <v>542</v>
      </c>
      <c r="K33" t="s">
        <v>534</v>
      </c>
      <c r="L33" s="12">
        <v>0.74457432187399997</v>
      </c>
      <c r="M33" s="12">
        <v>0.74598663181299996</v>
      </c>
      <c r="N33" s="12">
        <v>0.59188571918499999</v>
      </c>
      <c r="O33" s="12">
        <v>0.66891663688500003</v>
      </c>
      <c r="P33" s="12">
        <v>0.69648035738799996</v>
      </c>
      <c r="Q33" s="12">
        <v>0.79168234579999996</v>
      </c>
      <c r="R33" s="12">
        <v>0.89724525176199998</v>
      </c>
      <c r="S33" s="12">
        <v>1</v>
      </c>
      <c r="T33" s="12">
        <v>0.97833913127700001</v>
      </c>
    </row>
    <row r="34" spans="1:20" x14ac:dyDescent="0.3">
      <c r="A34" t="s">
        <v>543</v>
      </c>
      <c r="K34" t="s">
        <v>574</v>
      </c>
      <c r="L34" s="12">
        <v>0.774337939142</v>
      </c>
      <c r="M34" s="12">
        <v>0.77443579500399995</v>
      </c>
      <c r="N34" s="12">
        <v>0.58575689671700004</v>
      </c>
      <c r="O34" s="12">
        <v>0.69614376295799996</v>
      </c>
      <c r="P34" s="12">
        <v>0.71569108765099998</v>
      </c>
      <c r="Q34" s="12">
        <v>0.81901134380200002</v>
      </c>
      <c r="R34" s="12">
        <v>0.93212785710799995</v>
      </c>
      <c r="S34" s="12">
        <v>0.97833913127700001</v>
      </c>
      <c r="T34" s="12">
        <v>1</v>
      </c>
    </row>
    <row r="35" spans="1:20" x14ac:dyDescent="0.3">
      <c r="A35" t="s">
        <v>544</v>
      </c>
    </row>
    <row r="36" spans="1:20" x14ac:dyDescent="0.3">
      <c r="A36" t="s">
        <v>545</v>
      </c>
    </row>
    <row r="38" spans="1:20" x14ac:dyDescent="0.3">
      <c r="A38" t="s">
        <v>546</v>
      </c>
      <c r="B38" t="s">
        <v>547</v>
      </c>
      <c r="C38" t="s">
        <v>548</v>
      </c>
      <c r="D38" t="s">
        <v>549</v>
      </c>
      <c r="E38" t="s">
        <v>550</v>
      </c>
    </row>
    <row r="40" spans="1:20" x14ac:dyDescent="0.3">
      <c r="A40" t="s">
        <v>551</v>
      </c>
      <c r="B40" s="70">
        <v>-229363.1</v>
      </c>
      <c r="C40" s="70">
        <v>36792.230000000003</v>
      </c>
      <c r="D40" s="12">
        <v>-6.2340080000000002</v>
      </c>
      <c r="E40" s="88">
        <v>0</v>
      </c>
    </row>
    <row r="41" spans="1:20" x14ac:dyDescent="0.3">
      <c r="A41" t="s">
        <v>552</v>
      </c>
      <c r="B41" s="70">
        <v>68.2333</v>
      </c>
      <c r="C41" s="70">
        <v>1.128617</v>
      </c>
      <c r="D41" s="12">
        <v>60.457459999999998</v>
      </c>
      <c r="E41" s="88">
        <v>0</v>
      </c>
    </row>
    <row r="42" spans="1:20" x14ac:dyDescent="0.3">
      <c r="A42" t="s">
        <v>534</v>
      </c>
      <c r="B42" s="70">
        <v>21012.36</v>
      </c>
      <c r="C42" s="70">
        <v>2334.596</v>
      </c>
      <c r="D42" s="12">
        <v>9.0004290000000005</v>
      </c>
      <c r="E42" s="88">
        <v>0</v>
      </c>
    </row>
    <row r="44" spans="1:20" x14ac:dyDescent="0.3">
      <c r="A44" t="s">
        <v>553</v>
      </c>
      <c r="B44">
        <v>0.98733000000000004</v>
      </c>
      <c r="C44" t="s">
        <v>554</v>
      </c>
      <c r="E44" s="78">
        <v>721448</v>
      </c>
    </row>
    <row r="45" spans="1:20" x14ac:dyDescent="0.3">
      <c r="A45" t="s">
        <v>555</v>
      </c>
      <c r="B45">
        <v>0.98714000000000002</v>
      </c>
      <c r="C45" t="s">
        <v>556</v>
      </c>
      <c r="E45" s="78">
        <v>566928.19999999995</v>
      </c>
    </row>
    <row r="46" spans="1:20" x14ac:dyDescent="0.3">
      <c r="A46" t="s">
        <v>557</v>
      </c>
      <c r="B46">
        <v>64291.23</v>
      </c>
      <c r="C46" t="s">
        <v>558</v>
      </c>
      <c r="E46" s="78">
        <v>25.002050000000001</v>
      </c>
    </row>
    <row r="47" spans="1:20" x14ac:dyDescent="0.3">
      <c r="A47" t="s">
        <v>559</v>
      </c>
      <c r="B47" s="89">
        <v>550000000000</v>
      </c>
      <c r="C47" t="s">
        <v>560</v>
      </c>
      <c r="E47" s="78">
        <v>25.066299999999998</v>
      </c>
    </row>
    <row r="48" spans="1:20" x14ac:dyDescent="0.3">
      <c r="A48" t="s">
        <v>561</v>
      </c>
      <c r="B48">
        <v>-1697.1389999999999</v>
      </c>
      <c r="C48" t="s">
        <v>562</v>
      </c>
      <c r="E48" s="78">
        <v>5182.2569999999996</v>
      </c>
    </row>
    <row r="49" spans="1:5" x14ac:dyDescent="0.3">
      <c r="A49" t="s">
        <v>563</v>
      </c>
      <c r="B49">
        <v>1.663486</v>
      </c>
      <c r="C49" t="s">
        <v>564</v>
      </c>
      <c r="E49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F5E55C585DB41A8086B22A0BA3978" ma:contentTypeVersion="12" ma:contentTypeDescription="Create a new document." ma:contentTypeScope="" ma:versionID="a526b83bcfee6fd84cfb710f057456ee">
  <xsd:schema xmlns:xsd="http://www.w3.org/2001/XMLSchema" xmlns:xs="http://www.w3.org/2001/XMLSchema" xmlns:p="http://schemas.microsoft.com/office/2006/metadata/properties" xmlns:ns3="6d636ed6-4d22-4f9b-a70c-2b144907596b" xmlns:ns4="db382af5-41d1-4468-8b87-e2f8642e227d" targetNamespace="http://schemas.microsoft.com/office/2006/metadata/properties" ma:root="true" ma:fieldsID="b194897844178e75f74cb07577acc0c6" ns3:_="" ns4:_="">
    <xsd:import namespace="6d636ed6-4d22-4f9b-a70c-2b144907596b"/>
    <xsd:import namespace="db382af5-41d1-4468-8b87-e2f8642e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36ed6-4d22-4f9b-a70c-2b1449075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82af5-41d1-4468-8b87-e2f8642e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2F7C6F-232F-4221-8CB4-58989BBA9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36ed6-4d22-4f9b-a70c-2b144907596b"/>
    <ds:schemaRef ds:uri="db382af5-41d1-4468-8b87-e2f8642e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532A1-66BB-4F39-8836-CB574844F7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4F58A4-EED0-44D0-A895-485FA285E8BA}">
  <ds:schemaRefs>
    <ds:schemaRef ds:uri="http://schemas.microsoft.com/office/infopath/2007/PartnerControls"/>
    <ds:schemaRef ds:uri="db382af5-41d1-4468-8b87-e2f8642e227d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6d636ed6-4d22-4f9b-a70c-2b144907596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D_class (4 in 12 slope)</vt:lpstr>
      <vt:lpstr>correlation</vt:lpstr>
      <vt:lpstr>'D_class (4 in 12 slope)'!a</vt:lpstr>
      <vt:lpstr>'D_class (4 in 12 slope)'!diam</vt:lpstr>
      <vt:lpstr>'D_class (4 in 12 slope)'!door</vt:lpstr>
      <vt:lpstr>'D_class (4 in 12 slope)'!Eave_height</vt:lpstr>
      <vt:lpstr>'D_class (4 in 12 slope)'!eheight</vt:lpstr>
      <vt:lpstr>'D_class (4 in 12 slope)'!Height</vt:lpstr>
      <vt:lpstr>'D_class (4 in 12 slope)'!high</vt:lpstr>
      <vt:lpstr>length</vt:lpstr>
      <vt:lpstr>'D_class (4 in 12 slope)'!ring</vt:lpstr>
      <vt:lpstr>'D_class (4 in 12 slope)'!sheet</vt:lpstr>
      <vt:lpstr>'D_class (4 in 12 slope)'!wide</vt:lpstr>
    </vt:vector>
  </TitlesOfParts>
  <Company>OSU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byounl</dc:creator>
  <cp:lastModifiedBy>Spradlin, Cassidy D</cp:lastModifiedBy>
  <dcterms:created xsi:type="dcterms:W3CDTF">2011-03-20T23:09:43Z</dcterms:created>
  <dcterms:modified xsi:type="dcterms:W3CDTF">2021-03-26T14:51:17Z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0x010100560F5E55C585DB41A8086B22A0BA3978</vt:lpwstr>
  </property>
</Properties>
</file>