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cassidy_spradlin_okstate_edu/Documents/Attachments/AGECON Extension/Agribusiness and Cooperative Management/"/>
    </mc:Choice>
  </mc:AlternateContent>
  <bookViews>
    <workbookView xWindow="0" yWindow="0" windowWidth="23040" windowHeight="9192" activeTab="1"/>
  </bookViews>
  <sheets>
    <sheet name="Introduction" sheetId="3" r:id="rId1"/>
    <sheet name="Inputs" sheetId="1" r:id="rId2"/>
    <sheet name="Income and Expenses" sheetId="2" r:id="rId3"/>
  </sheets>
  <calcPr calcId="162913"/>
</workbook>
</file>

<file path=xl/calcChain.xml><?xml version="1.0" encoding="utf-8"?>
<calcChain xmlns="http://schemas.openxmlformats.org/spreadsheetml/2006/main">
  <c r="M18" i="2" l="1"/>
  <c r="H27" i="1" s="1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M6" i="2"/>
  <c r="L6" i="2"/>
  <c r="L18" i="2" s="1"/>
  <c r="G27" i="1" s="1"/>
  <c r="K17" i="2"/>
  <c r="K16" i="2"/>
  <c r="K15" i="2"/>
  <c r="K14" i="2"/>
  <c r="K13" i="2"/>
  <c r="K12" i="2"/>
  <c r="K11" i="2"/>
  <c r="K10" i="2"/>
  <c r="K9" i="2"/>
  <c r="K8" i="2"/>
  <c r="K7" i="2"/>
  <c r="K18" i="2" s="1"/>
  <c r="F27" i="1" s="1"/>
  <c r="K6" i="2"/>
  <c r="B41" i="1"/>
  <c r="H19" i="1"/>
  <c r="G19" i="1"/>
  <c r="F19" i="1"/>
  <c r="J31" i="1"/>
  <c r="H31" i="1"/>
  <c r="D17" i="2"/>
  <c r="D16" i="2"/>
  <c r="D15" i="2"/>
  <c r="D14" i="2"/>
  <c r="D13" i="2"/>
  <c r="D12" i="2"/>
  <c r="D11" i="2"/>
  <c r="D10" i="2"/>
  <c r="D9" i="2"/>
  <c r="D8" i="2"/>
  <c r="D7" i="2"/>
  <c r="D6" i="2"/>
  <c r="C17" i="2"/>
  <c r="C16" i="2"/>
  <c r="C15" i="2"/>
  <c r="C14" i="2"/>
  <c r="C13" i="2"/>
  <c r="C12" i="2"/>
  <c r="C11" i="2"/>
  <c r="C10" i="2"/>
  <c r="C9" i="2"/>
  <c r="C8" i="2"/>
  <c r="C7" i="2"/>
  <c r="C6" i="2"/>
  <c r="D3" i="2"/>
  <c r="B3" i="2"/>
  <c r="C3" i="2"/>
  <c r="D27" i="2"/>
  <c r="C27" i="2"/>
  <c r="B27" i="2"/>
  <c r="D4" i="2"/>
  <c r="D18" i="2"/>
  <c r="D20" i="2" s="1"/>
  <c r="B27" i="1"/>
  <c r="B28" i="1"/>
  <c r="H24" i="1" s="1"/>
  <c r="D34" i="1"/>
  <c r="D35" i="1"/>
  <c r="D36" i="1" s="1"/>
  <c r="H25" i="1" s="1"/>
  <c r="H22" i="1"/>
  <c r="H21" i="1"/>
  <c r="C4" i="2"/>
  <c r="G34" i="1"/>
  <c r="G45" i="1" s="1"/>
  <c r="G35" i="1"/>
  <c r="G36" i="1"/>
  <c r="G37" i="1"/>
  <c r="G38" i="1"/>
  <c r="G39" i="1"/>
  <c r="G40" i="1"/>
  <c r="G41" i="1"/>
  <c r="G42" i="1"/>
  <c r="G43" i="1"/>
  <c r="G44" i="1"/>
  <c r="C18" i="2"/>
  <c r="C20" i="2" s="1"/>
  <c r="C34" i="1"/>
  <c r="C35" i="1"/>
  <c r="C36" i="1" s="1"/>
  <c r="G25" i="1" s="1"/>
  <c r="G22" i="1"/>
  <c r="G26" i="1"/>
  <c r="B4" i="2"/>
  <c r="B6" i="2"/>
  <c r="B18" i="2" s="1"/>
  <c r="B20" i="2" s="1"/>
  <c r="B7" i="2"/>
  <c r="B8" i="2"/>
  <c r="B9" i="2"/>
  <c r="B10" i="2"/>
  <c r="B11" i="2"/>
  <c r="B12" i="2"/>
  <c r="B13" i="2"/>
  <c r="B14" i="2"/>
  <c r="B15" i="2"/>
  <c r="B16" i="2"/>
  <c r="B17" i="2"/>
  <c r="B34" i="1"/>
  <c r="B35" i="1"/>
  <c r="B36" i="1" s="1"/>
  <c r="F25" i="1" s="1"/>
  <c r="F22" i="1"/>
  <c r="F26" i="1"/>
  <c r="F21" i="1"/>
  <c r="A17" i="2"/>
  <c r="J17" i="2"/>
  <c r="A16" i="2"/>
  <c r="J16" i="2" s="1"/>
  <c r="A15" i="2"/>
  <c r="J15" i="2"/>
  <c r="A14" i="2"/>
  <c r="J14" i="2"/>
  <c r="A13" i="2"/>
  <c r="J13" i="2"/>
  <c r="A12" i="2"/>
  <c r="J12" i="2" s="1"/>
  <c r="A11" i="2"/>
  <c r="J11" i="2"/>
  <c r="A10" i="2"/>
  <c r="J10" i="2"/>
  <c r="A9" i="2"/>
  <c r="J9" i="2"/>
  <c r="A8" i="2"/>
  <c r="J8" i="2" s="1"/>
  <c r="A7" i="2"/>
  <c r="J7" i="2"/>
  <c r="A6" i="2"/>
  <c r="J6" i="2"/>
  <c r="K34" i="1"/>
  <c r="K35" i="1"/>
  <c r="K45" i="1" s="1"/>
  <c r="K36" i="1"/>
  <c r="K37" i="1"/>
  <c r="K38" i="1"/>
  <c r="K39" i="1"/>
  <c r="K40" i="1"/>
  <c r="K41" i="1"/>
  <c r="K42" i="1"/>
  <c r="K43" i="1"/>
  <c r="K44" i="1"/>
  <c r="I34" i="1"/>
  <c r="I35" i="1"/>
  <c r="I45" i="1" s="1"/>
  <c r="I36" i="1"/>
  <c r="I37" i="1"/>
  <c r="I38" i="1"/>
  <c r="I39" i="1"/>
  <c r="I40" i="1"/>
  <c r="I41" i="1"/>
  <c r="I42" i="1"/>
  <c r="I43" i="1"/>
  <c r="I44" i="1"/>
  <c r="D2" i="2"/>
  <c r="C2" i="2"/>
  <c r="B2" i="2"/>
  <c r="G21" i="1"/>
  <c r="H26" i="1"/>
  <c r="D30" i="1"/>
  <c r="C30" i="1"/>
  <c r="B30" i="1"/>
  <c r="B21" i="1"/>
  <c r="F31" i="1"/>
  <c r="H12" i="1"/>
  <c r="G12" i="1"/>
  <c r="F12" i="1"/>
  <c r="F23" i="1"/>
  <c r="B28" i="2"/>
  <c r="B29" i="2"/>
  <c r="B30" i="2" s="1"/>
  <c r="C28" i="2"/>
  <c r="C34" i="2" s="1"/>
  <c r="C33" i="2"/>
  <c r="D28" i="2"/>
  <c r="D31" i="2" s="1"/>
  <c r="D35" i="2"/>
  <c r="B32" i="2"/>
  <c r="D34" i="2"/>
  <c r="D32" i="2"/>
  <c r="D29" i="2"/>
  <c r="D30" i="2" s="1"/>
  <c r="C29" i="2"/>
  <c r="C30" i="2" s="1"/>
  <c r="B33" i="2"/>
  <c r="B35" i="2"/>
  <c r="B34" i="2"/>
  <c r="B31" i="2"/>
  <c r="G24" i="1"/>
  <c r="C21" i="2" l="1"/>
  <c r="B21" i="2"/>
  <c r="H28" i="1"/>
  <c r="D24" i="2" s="1"/>
  <c r="D21" i="2"/>
  <c r="C32" i="2"/>
  <c r="B36" i="2"/>
  <c r="B37" i="2" s="1"/>
  <c r="F24" i="1"/>
  <c r="F28" i="1" s="1"/>
  <c r="B24" i="2" s="1"/>
  <c r="D33" i="2"/>
  <c r="D36" i="2" s="1"/>
  <c r="D37" i="2" s="1"/>
  <c r="C35" i="2"/>
  <c r="H23" i="1"/>
  <c r="G23" i="1"/>
  <c r="G28" i="1" s="1"/>
  <c r="C24" i="2" s="1"/>
  <c r="C31" i="2"/>
  <c r="C36" i="2" s="1"/>
  <c r="C37" i="2" s="1"/>
  <c r="B40" i="2" l="1"/>
  <c r="B23" i="2"/>
  <c r="B39" i="2" s="1"/>
  <c r="B42" i="2" s="1"/>
  <c r="C23" i="2"/>
  <c r="C39" i="2" s="1"/>
  <c r="C42" i="2" s="1"/>
  <c r="C40" i="2"/>
  <c r="C43" i="2" s="1"/>
  <c r="D23" i="2"/>
  <c r="D39" i="2" s="1"/>
  <c r="D42" i="2" s="1"/>
  <c r="D40" i="2"/>
  <c r="D43" i="2"/>
  <c r="B43" i="2"/>
</calcChain>
</file>

<file path=xl/sharedStrings.xml><?xml version="1.0" encoding="utf-8"?>
<sst xmlns="http://schemas.openxmlformats.org/spreadsheetml/2006/main" count="122" uniqueCount="118">
  <si>
    <t>Capacity-bushels</t>
  </si>
  <si>
    <t>Facility cost</t>
  </si>
  <si>
    <t>Corn</t>
  </si>
  <si>
    <t>Soybean</t>
  </si>
  <si>
    <t>Wheat</t>
  </si>
  <si>
    <t>Maintenance % of facility cost</t>
  </si>
  <si>
    <t>Initial Volume/bu</t>
  </si>
  <si>
    <t>Property tax % of facility cost</t>
  </si>
  <si>
    <t>Handling fee/bu</t>
  </si>
  <si>
    <t>Insuarnce % of facility cost</t>
  </si>
  <si>
    <t>Interest rate</t>
  </si>
  <si>
    <t>Harvest price</t>
  </si>
  <si>
    <t>Total shrink $/bu</t>
  </si>
  <si>
    <t>Telephone-per year</t>
  </si>
  <si>
    <t>Moisture loss $/bu</t>
  </si>
  <si>
    <t>Electricity-office &amp; lightling per year</t>
  </si>
  <si>
    <t>Benefit as % of salary</t>
  </si>
  <si>
    <t>Fumigation/bu</t>
  </si>
  <si>
    <t>Total Variable Storage Costs</t>
  </si>
  <si>
    <t>Month</t>
  </si>
  <si>
    <t>% in Storage</t>
  </si>
  <si>
    <t>% Sold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</si>
  <si>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</si>
  <si>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</si>
  <si>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</si>
  <si>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</si>
  <si>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</si>
  <si>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</si>
  <si>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</si>
  <si>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</si>
  <si>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</si>
  <si>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</si>
  <si>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</si>
  <si>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Grains Stored</t>
  </si>
  <si>
    <t>August</t>
  </si>
  <si>
    <t>Leg Capacity/hr</t>
  </si>
  <si>
    <t>Leg HP/bu/hour</t>
  </si>
  <si>
    <t>Leg HP/bu/hour (.005/base)</t>
  </si>
  <si>
    <t>Drag Conveyor HP/Bu/hour</t>
  </si>
  <si>
    <t>Dust System HP/Hour</t>
  </si>
  <si>
    <t>Total HP/Bu Turning</t>
  </si>
  <si>
    <t>Electricity cost/Bu Turning</t>
  </si>
  <si>
    <t>Electricity Cost/KW</t>
  </si>
  <si>
    <t>Aeration</t>
  </si>
  <si>
    <t>Hours of fan time/cycle</t>
  </si>
  <si>
    <t>KW per bu/cycle</t>
  </si>
  <si>
    <t>Number of time Aerated</t>
  </si>
  <si>
    <t>Aeration cost/bu</t>
  </si>
  <si>
    <t>Moisture loss %</t>
  </si>
  <si>
    <t>Time Turned</t>
  </si>
  <si>
    <t>Times Aerated</t>
  </si>
  <si>
    <t>Turning Cost per bu</t>
  </si>
  <si>
    <t>Times Fumigated</t>
  </si>
  <si>
    <t>Leg HP</t>
  </si>
  <si>
    <t>Fumigation cost/bu</t>
  </si>
  <si>
    <t>Aeration Cost per bu</t>
  </si>
  <si>
    <t>Shrink (in and out)</t>
  </si>
  <si>
    <t>Shrink per turn</t>
  </si>
  <si>
    <t>Elevator salaries</t>
  </si>
  <si>
    <t>Income</t>
  </si>
  <si>
    <t>Storage Income</t>
  </si>
  <si>
    <t>Total Storage Inc</t>
  </si>
  <si>
    <t>Total Income</t>
  </si>
  <si>
    <t>Total Income/bu</t>
  </si>
  <si>
    <t>Variable Costs</t>
  </si>
  <si>
    <t>Variable Costs/bu</t>
  </si>
  <si>
    <t>Bushels</t>
  </si>
  <si>
    <t>Handling Income</t>
  </si>
  <si>
    <t>Fixed Costs</t>
  </si>
  <si>
    <t>Salary</t>
  </si>
  <si>
    <t>Portion for Each Grain</t>
  </si>
  <si>
    <t>Maintainence</t>
  </si>
  <si>
    <t>Insurance</t>
  </si>
  <si>
    <t>Interest</t>
  </si>
  <si>
    <t>Telephone&amp;Elec</t>
  </si>
  <si>
    <t>Total Fixed</t>
  </si>
  <si>
    <t>Total Fixed Bu</t>
  </si>
  <si>
    <t>Total Expenses</t>
  </si>
  <si>
    <t>Total Expenses/bu</t>
  </si>
  <si>
    <t xml:space="preserve">Total Net </t>
  </si>
  <si>
    <t>Total Net/bu</t>
  </si>
  <si>
    <t>Electricy cos/per bu/cycle</t>
  </si>
  <si>
    <t>Grain</t>
  </si>
  <si>
    <t>Grain Handling Expenses</t>
  </si>
  <si>
    <t>Storage fee/bu/mo</t>
  </si>
  <si>
    <t>Grain Storage Costs and Income Template</t>
  </si>
  <si>
    <t>Enter information in green cells</t>
  </si>
  <si>
    <t>Benefits</t>
  </si>
  <si>
    <t>HP/Bu (base=.0007 at 1/10 cfm)</t>
  </si>
  <si>
    <t>Moisture Shrinkage Calculator</t>
  </si>
  <si>
    <t>% Initial Moisture</t>
  </si>
  <si>
    <t>% Final Moisture</t>
  </si>
  <si>
    <t>Moisture Loss %</t>
  </si>
  <si>
    <t>Storage Time and Storage Income</t>
  </si>
  <si>
    <t>Elevation Costs</t>
  </si>
  <si>
    <t>Projected Costs Shown on Income and Expense Sheet</t>
  </si>
  <si>
    <t>&lt;== This shows your cost of handling grain</t>
  </si>
  <si>
    <t>&lt;== This shows your total costs for the elevator unit</t>
  </si>
  <si>
    <t>OSU Grain Handling and Storage Cost Calculator</t>
  </si>
  <si>
    <t>Phil Kenkel</t>
  </si>
  <si>
    <t>Department of Agricultural Economics</t>
  </si>
  <si>
    <t>405-744-9818</t>
  </si>
  <si>
    <t>phil.kenkel@okstate.edu</t>
  </si>
  <si>
    <t>This simple calculator allows you to project the cost of storing and handling various grains.</t>
  </si>
  <si>
    <t>The storage and handling costs are shown on the Income and Expense Sheet</t>
  </si>
  <si>
    <t>The calculator shows both the variable (annual costs) and the total costs including the fixed ownership costs</t>
  </si>
  <si>
    <t>Enter information on your elevator in the green cells on the input page</t>
  </si>
  <si>
    <t>Click for the publication "Grain Handling and Storage Costs in Country Elevators"</t>
  </si>
  <si>
    <t>Forward to Input Page</t>
  </si>
  <si>
    <t>Back to Input Page</t>
  </si>
  <si>
    <t>Go to Income and Expense Summary</t>
  </si>
  <si>
    <t>(the mosture loss is entered manually in cells F16-H16)</t>
  </si>
  <si>
    <t>Depreciation</t>
  </si>
  <si>
    <t>Percent grain owned</t>
  </si>
  <si>
    <t>Percent facility financed</t>
  </si>
  <si>
    <t>Total</t>
  </si>
  <si>
    <t>Interest on grain/bu</t>
  </si>
  <si>
    <t>Interest Expense on Grain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</si>
</sst>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7" formatCode="&quot;$&quot;#,##0.000"/>
    <numFmt numFmtId="168" formatCode="&quot;$&quot;#,##0.0000"/>
    <numFmt numFmtId="169" formatCode="0.0%"/>
  </numFmts>
  <fonts count="10" x14ac:knownFonts="1">
    <font>
      <sz val="12"/>
      <name val="Times New Roman"/>
    </font>
    <font>
      <sz val="12"/>
      <name val="Times New Roman"/>
    </font>
    <font>
      <sz val="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u/>
      <sz val="12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9" fontId="0" fillId="0" borderId="0" xfId="4" applyFont="1"/>
    <xf numFmtId="165" fontId="0" fillId="0" borderId="0" xfId="0" applyNumberFormat="1"/>
    <xf numFmtId="3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10" fontId="0" fillId="2" borderId="0" xfId="0" applyNumberFormat="1" applyFill="1" applyProtection="1">
      <protection locked="0"/>
    </xf>
    <xf numFmtId="9" fontId="0" fillId="2" borderId="0" xfId="4" applyFont="1" applyFill="1" applyProtection="1">
      <protection locked="0"/>
    </xf>
    <xf numFmtId="165" fontId="0" fillId="2" borderId="0" xfId="0" applyNumberFormat="1" applyFill="1" applyProtection="1">
      <protection locked="0"/>
    </xf>
    <xf numFmtId="0" fontId="0" fillId="2" borderId="0" xfId="0" applyFill="1"/>
    <xf numFmtId="37" fontId="0" fillId="2" borderId="0" xfId="1" applyNumberFormat="1" applyFont="1" applyFill="1" applyProtection="1">
      <protection locked="0"/>
    </xf>
    <xf numFmtId="0" fontId="0" fillId="2" borderId="0" xfId="0" applyFill="1" applyProtection="1">
      <protection locked="0"/>
    </xf>
    <xf numFmtId="9" fontId="0" fillId="0" borderId="0" xfId="0" applyNumberFormat="1"/>
    <xf numFmtId="9" fontId="0" fillId="2" borderId="0" xfId="0" applyNumberFormat="1" applyFill="1" applyProtection="1">
      <protection locked="0"/>
    </xf>
    <xf numFmtId="167" fontId="0" fillId="0" borderId="0" xfId="0" applyNumberFormat="1"/>
    <xf numFmtId="44" fontId="0" fillId="2" borderId="0" xfId="2" applyFont="1" applyFill="1" applyProtection="1">
      <protection locked="0"/>
    </xf>
    <xf numFmtId="167" fontId="0" fillId="2" borderId="0" xfId="0" applyNumberFormat="1" applyFill="1" applyProtection="1">
      <protection locked="0"/>
    </xf>
    <xf numFmtId="1" fontId="0" fillId="0" borderId="0" xfId="0" applyNumberFormat="1"/>
    <xf numFmtId="168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ill="1" applyProtection="1"/>
    <xf numFmtId="169" fontId="0" fillId="0" borderId="0" xfId="4" applyNumberFormat="1" applyFont="1"/>
    <xf numFmtId="169" fontId="0" fillId="2" borderId="0" xfId="4" applyNumberFormat="1" applyFont="1" applyFill="1" applyProtection="1">
      <protection locked="0"/>
    </xf>
    <xf numFmtId="0" fontId="5" fillId="0" borderId="0" xfId="0" applyFont="1"/>
    <xf numFmtId="165" fontId="3" fillId="0" borderId="0" xfId="0" applyNumberFormat="1" applyFont="1"/>
    <xf numFmtId="0" fontId="6" fillId="0" borderId="0" xfId="0" applyFont="1"/>
    <xf numFmtId="0" fontId="9" fillId="0" borderId="0" xfId="3" applyAlignment="1" applyProtection="1"/>
    <xf numFmtId="0" fontId="0" fillId="3" borderId="0" xfId="0" applyFill="1"/>
    <xf numFmtId="0" fontId="7" fillId="0" borderId="0" xfId="0" applyFont="1"/>
    <xf numFmtId="0" fontId="8" fillId="0" borderId="0" xfId="0" applyFont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579120</xdr:colOff>
      <xdr:row>3</xdr:row>
      <xdr:rowOff>358140</xdr:rowOff>
    </xdr:from>
    <xdr:to>
      <xdr:col>11</xdr:col>
      <xdr:colOff>281940</xdr:colOff>
      <xdr:row>12</xdr:row>
      <xdr:rowOff>167640</xdr:rowOff>
    </xdr:to>
    <xdr:pic>
      <xdr:nvPicPr>
        <xdr:cNvPr id="1041" name="Picture 1" descr="tonkawa elevator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0" y="952500"/>
          <a:ext cx="2385060" cy="1805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220980</xdr:colOff>
          <xdr:row>22</xdr:row>
          <xdr:rowOff>83820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il.kenkel@okstate.edu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G21"/>
  <sheetViews>
    <sheetView showGridLines="0" workbookViewId="0">
      <selection activeCell="E21" sqref="E21"/>
    </sheetView>
  </sheetViews>
  <sheetFormatPr defaultRowHeight="15.6" x14ac:dyDescent="0.3"/>
  <sheetData>
    <row r="4" spans="1:7" ht="32.4" x14ac:dyDescent="0.55000000000000004">
      <c r="A4" s="26" t="s">
        <v>98</v>
      </c>
    </row>
    <row r="6" spans="1:7" x14ac:dyDescent="0.3">
      <c r="B6" s="24" t="s">
        <v>99</v>
      </c>
    </row>
    <row r="7" spans="1:7" x14ac:dyDescent="0.3">
      <c r="B7" s="24" t="s">
        <v>100</v>
      </c>
    </row>
    <row r="8" spans="1:7" x14ac:dyDescent="0.3">
      <c r="B8" s="24" t="s">
        <v>101</v>
      </c>
    </row>
    <row r="9" spans="1:7" x14ac:dyDescent="0.3">
      <c r="B9" s="27" t="s">
        <v>102</v>
      </c>
    </row>
    <row r="11" spans="1:7" x14ac:dyDescent="0.3">
      <c r="A11" s="24" t="s">
        <v>103</v>
      </c>
    </row>
    <row r="12" spans="1:7" x14ac:dyDescent="0.3">
      <c r="A12" s="24" t="s">
        <v>106</v>
      </c>
      <c r="G12" s="28"/>
    </row>
    <row r="13" spans="1:7" x14ac:dyDescent="0.3">
      <c r="A13" s="24" t="s">
        <v>104</v>
      </c>
    </row>
    <row r="14" spans="1:7" x14ac:dyDescent="0.3">
      <c r="A14" s="24" t="s">
        <v>105</v>
      </c>
    </row>
    <row r="18" spans="2:5" x14ac:dyDescent="0.3">
      <c r="B18" s="24" t="s">
        <v>107</v>
      </c>
    </row>
    <row r="20" spans="2:5" x14ac:dyDescent="0.3">
      <c r="E20" s="27"/>
    </row>
    <row r="21" spans="2:5" x14ac:dyDescent="0.3">
      <c r="E21" s="27" t="s">
        <v>108</v>
      </c>
    </row>
  </sheetData>
  <sheetProtection sheet="1" scenarios="1"/>
  <phoneticPr fontId="2" type="noConversion"/>
  <hyperlinks>
    <hyperlink ref="B9" r:id="rId1"/>
    <hyperlink ref="E21" location="Inputs!A1" display="Inputs!A1"/>
  </hyperlinks>
  <pageMargins left="0.75" right="0.75" top="1" bottom="1" header="0.5" footer="0.5"/>
  <pageSetup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croExch.Document.7" dvAspect="DVASPECT_ICON" shapeId="1026" r:id="rId5">
          <objectPr defaultSize="0" r:id="rId6">
            <anchor moveWithCells="1">
              <from>
                <xdr:col>1</xdr:col>
                <xdr:colOff>0</xdr:colOff>
                <xdr:row>19</xdr:row>
                <xdr:rowOff>0</xdr:rowOff>
              </from>
              <to>
                <xdr:col>2</xdr:col>
                <xdr:colOff>220980</xdr:colOff>
                <xdr:row>22</xdr:row>
                <xdr:rowOff>83820</xdr:rowOff>
              </to>
            </anchor>
          </objectPr>
        </oleObject>
      </mc:Choice>
      <mc:Fallback>
        <oleObject progId="AcroExch.Document.7" dvAspect="DVASPECT_ICON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D4" sqref="D4"/>
    </sheetView>
  </sheetViews>
  <sheetFormatPr defaultRowHeight="15.6" x14ac:dyDescent="0.3"/>
  <cols>
    <col min="1" max="1" width="23.5" customWidth="1"/>
    <col min="2" max="2" width="10.09765625" bestFit="1" customWidth="1"/>
    <col min="5" max="5" width="18.5" customWidth="1"/>
    <col min="6" max="6" width="10.8984375" customWidth="1"/>
  </cols>
  <sheetData>
    <row r="1" spans="1:8" ht="27.6" x14ac:dyDescent="0.45">
      <c r="A1" s="20" t="s">
        <v>85</v>
      </c>
    </row>
    <row r="3" spans="1:8" x14ac:dyDescent="0.3">
      <c r="A3" s="19" t="s">
        <v>86</v>
      </c>
      <c r="B3" s="9"/>
      <c r="D3" s="19" t="s">
        <v>95</v>
      </c>
    </row>
    <row r="4" spans="1:8" x14ac:dyDescent="0.3">
      <c r="D4" s="27" t="s">
        <v>110</v>
      </c>
    </row>
    <row r="5" spans="1:8" x14ac:dyDescent="0.3">
      <c r="A5" t="s">
        <v>0</v>
      </c>
      <c r="B5" s="4">
        <v>1000000</v>
      </c>
    </row>
    <row r="6" spans="1:8" x14ac:dyDescent="0.3">
      <c r="A6" t="s">
        <v>1</v>
      </c>
      <c r="B6" s="5">
        <v>1250000</v>
      </c>
      <c r="E6" t="s">
        <v>33</v>
      </c>
      <c r="F6" s="11" t="s">
        <v>2</v>
      </c>
      <c r="G6" s="11" t="s">
        <v>3</v>
      </c>
      <c r="H6" s="11" t="s">
        <v>4</v>
      </c>
    </row>
    <row r="7" spans="1:8" x14ac:dyDescent="0.3">
      <c r="A7" t="s">
        <v>5</v>
      </c>
      <c r="B7" s="6">
        <v>0.01</v>
      </c>
      <c r="E7" t="s">
        <v>6</v>
      </c>
      <c r="F7" s="4">
        <v>300000</v>
      </c>
      <c r="G7" s="4">
        <v>300000</v>
      </c>
      <c r="H7" s="4">
        <v>300000</v>
      </c>
    </row>
    <row r="8" spans="1:8" x14ac:dyDescent="0.3">
      <c r="A8" t="s">
        <v>7</v>
      </c>
      <c r="B8" s="6">
        <v>5.0000000000000001E-3</v>
      </c>
      <c r="E8" t="s">
        <v>8</v>
      </c>
      <c r="F8" s="8">
        <v>0.17</v>
      </c>
      <c r="G8" s="8">
        <v>0.17</v>
      </c>
      <c r="H8" s="8">
        <v>0.17</v>
      </c>
    </row>
    <row r="9" spans="1:8" x14ac:dyDescent="0.3">
      <c r="A9" t="s">
        <v>9</v>
      </c>
      <c r="B9" s="6">
        <v>1.4999999999999999E-2</v>
      </c>
      <c r="E9" t="s">
        <v>84</v>
      </c>
      <c r="F9" s="8">
        <v>0.03</v>
      </c>
      <c r="G9" s="8">
        <v>0.03</v>
      </c>
      <c r="H9" s="8">
        <v>0.03</v>
      </c>
    </row>
    <row r="10" spans="1:8" x14ac:dyDescent="0.3">
      <c r="A10" s="24" t="s">
        <v>114</v>
      </c>
      <c r="B10" s="6">
        <v>0.33</v>
      </c>
    </row>
    <row r="11" spans="1:8" x14ac:dyDescent="0.3">
      <c r="A11" s="24" t="s">
        <v>113</v>
      </c>
      <c r="B11" s="6">
        <v>1</v>
      </c>
      <c r="E11" t="s">
        <v>83</v>
      </c>
    </row>
    <row r="12" spans="1:8" x14ac:dyDescent="0.3">
      <c r="A12" t="s">
        <v>10</v>
      </c>
      <c r="B12" s="6">
        <v>7.4999999999999997E-2</v>
      </c>
      <c r="E12" t="s">
        <v>82</v>
      </c>
      <c r="F12" s="21" t="str">
        <f>F6</f>
        <v>Corn</v>
      </c>
      <c r="G12" s="21" t="str">
        <f>G6</f>
        <v>Soybean</v>
      </c>
      <c r="H12" s="21" t="str">
        <f>H6</f>
        <v>Wheat</v>
      </c>
    </row>
    <row r="13" spans="1:8" x14ac:dyDescent="0.3">
      <c r="A13" t="s">
        <v>58</v>
      </c>
      <c r="B13" s="5">
        <v>0</v>
      </c>
      <c r="E13" t="s">
        <v>11</v>
      </c>
      <c r="F13" s="15">
        <v>4</v>
      </c>
      <c r="G13" s="15">
        <v>10</v>
      </c>
      <c r="H13" s="15">
        <v>4</v>
      </c>
    </row>
    <row r="14" spans="1:8" x14ac:dyDescent="0.3">
      <c r="A14" t="s">
        <v>16</v>
      </c>
      <c r="B14" s="7">
        <v>0.3</v>
      </c>
      <c r="E14" t="s">
        <v>56</v>
      </c>
      <c r="F14" s="6">
        <v>5.0000000000000001E-3</v>
      </c>
      <c r="G14" s="6">
        <v>5.0000000000000001E-3</v>
      </c>
      <c r="H14" s="6">
        <v>5.0000000000000001E-3</v>
      </c>
    </row>
    <row r="15" spans="1:8" x14ac:dyDescent="0.3">
      <c r="A15" t="s">
        <v>13</v>
      </c>
      <c r="B15" s="5">
        <v>0</v>
      </c>
      <c r="E15" t="s">
        <v>57</v>
      </c>
      <c r="F15" s="6">
        <v>2.5000000000000001E-3</v>
      </c>
      <c r="G15" s="6">
        <v>2.5000000000000001E-3</v>
      </c>
      <c r="H15" s="6">
        <v>0</v>
      </c>
    </row>
    <row r="16" spans="1:8" x14ac:dyDescent="0.3">
      <c r="A16" t="s">
        <v>15</v>
      </c>
      <c r="B16" s="5">
        <v>0</v>
      </c>
      <c r="E16" t="s">
        <v>48</v>
      </c>
      <c r="F16" s="6">
        <v>1.2E-2</v>
      </c>
      <c r="G16" s="6">
        <v>5.0000000000000001E-3</v>
      </c>
      <c r="H16" s="6">
        <v>5.0000000000000001E-3</v>
      </c>
    </row>
    <row r="17" spans="1:11" x14ac:dyDescent="0.3">
      <c r="A17" t="s">
        <v>42</v>
      </c>
      <c r="B17" s="8">
        <v>0.11</v>
      </c>
      <c r="E17" t="s">
        <v>54</v>
      </c>
      <c r="F17" s="16">
        <v>5.0000000000000001E-3</v>
      </c>
      <c r="G17" s="16">
        <v>5.0000000000000001E-3</v>
      </c>
      <c r="H17" s="16">
        <v>5.0000000000000001E-3</v>
      </c>
    </row>
    <row r="18" spans="1:11" x14ac:dyDescent="0.3">
      <c r="E18" t="s">
        <v>49</v>
      </c>
      <c r="F18" s="11">
        <v>1</v>
      </c>
      <c r="G18" s="11">
        <v>1</v>
      </c>
      <c r="H18" s="11">
        <v>2</v>
      </c>
    </row>
    <row r="19" spans="1:11" x14ac:dyDescent="0.3">
      <c r="A19" t="s">
        <v>35</v>
      </c>
      <c r="B19" s="10">
        <v>10000</v>
      </c>
      <c r="E19" t="s">
        <v>50</v>
      </c>
      <c r="F19" s="21">
        <f>B31</f>
        <v>1</v>
      </c>
      <c r="G19" s="21">
        <f>C31</f>
        <v>1</v>
      </c>
      <c r="H19" s="21">
        <f>D31</f>
        <v>2</v>
      </c>
    </row>
    <row r="20" spans="1:11" x14ac:dyDescent="0.3">
      <c r="A20" t="s">
        <v>53</v>
      </c>
      <c r="B20" s="11">
        <v>50</v>
      </c>
      <c r="E20" t="s">
        <v>52</v>
      </c>
      <c r="F20" s="11">
        <v>0.5</v>
      </c>
      <c r="G20" s="11">
        <v>0</v>
      </c>
      <c r="H20" s="11">
        <v>1.5</v>
      </c>
    </row>
    <row r="21" spans="1:11" x14ac:dyDescent="0.3">
      <c r="A21" t="s">
        <v>36</v>
      </c>
      <c r="B21">
        <f>B20/B19</f>
        <v>5.0000000000000001E-3</v>
      </c>
      <c r="E21" t="s">
        <v>14</v>
      </c>
      <c r="F21" s="14">
        <f>F16*F13</f>
        <v>4.8000000000000001E-2</v>
      </c>
      <c r="G21" s="14">
        <f>G16*G13</f>
        <v>0.05</v>
      </c>
      <c r="H21" s="14">
        <f>H16*H13</f>
        <v>0.02</v>
      </c>
    </row>
    <row r="22" spans="1:11" x14ac:dyDescent="0.3">
      <c r="E22" t="s">
        <v>12</v>
      </c>
      <c r="F22" s="14">
        <f>(F14+(F15*F18))*F13</f>
        <v>0.03</v>
      </c>
      <c r="G22" s="14">
        <f>(G14+(G15*G18))*G13</f>
        <v>7.4999999999999997E-2</v>
      </c>
      <c r="H22" s="14">
        <f>(H14+(H15*H18))*H13</f>
        <v>0.02</v>
      </c>
    </row>
    <row r="23" spans="1:11" x14ac:dyDescent="0.3">
      <c r="A23" t="s">
        <v>37</v>
      </c>
      <c r="B23" s="11">
        <v>5.0000000000000001E-3</v>
      </c>
      <c r="E23" t="s">
        <v>94</v>
      </c>
      <c r="F23" s="14">
        <f>$B$28</f>
        <v>9.8999999999999999E-4</v>
      </c>
      <c r="G23" s="14">
        <f>$B$28</f>
        <v>9.8999999999999999E-4</v>
      </c>
      <c r="H23" s="14">
        <f>$B$28</f>
        <v>9.8999999999999999E-4</v>
      </c>
    </row>
    <row r="24" spans="1:11" x14ac:dyDescent="0.3">
      <c r="B24" s="11"/>
      <c r="E24" t="s">
        <v>51</v>
      </c>
      <c r="F24" s="14">
        <f>$B$28*F18</f>
        <v>9.8999999999999999E-4</v>
      </c>
      <c r="G24" s="14">
        <f>$B$28*G18</f>
        <v>9.8999999999999999E-4</v>
      </c>
      <c r="H24" s="14">
        <f>$B$28*H18</f>
        <v>1.98E-3</v>
      </c>
    </row>
    <row r="25" spans="1:11" x14ac:dyDescent="0.3">
      <c r="A25" t="s">
        <v>38</v>
      </c>
      <c r="B25" s="11">
        <v>2.5000000000000001E-3</v>
      </c>
      <c r="E25" t="s">
        <v>55</v>
      </c>
      <c r="F25" s="14">
        <f>B36*F19</f>
        <v>5.2799999999999991E-3</v>
      </c>
      <c r="G25" s="14">
        <f>C36*G19</f>
        <v>5.2799999999999991E-3</v>
      </c>
      <c r="H25" s="14">
        <f>D36*H19</f>
        <v>4.9280000000000004E-2</v>
      </c>
    </row>
    <row r="26" spans="1:11" x14ac:dyDescent="0.3">
      <c r="A26" t="s">
        <v>39</v>
      </c>
      <c r="B26" s="11">
        <v>15</v>
      </c>
      <c r="E26" t="s">
        <v>17</v>
      </c>
      <c r="F26" s="14">
        <f>F17*F20</f>
        <v>2.5000000000000001E-3</v>
      </c>
      <c r="G26" s="14">
        <f>G17*G20</f>
        <v>0</v>
      </c>
      <c r="H26" s="14">
        <f>H17*H20</f>
        <v>7.4999999999999997E-3</v>
      </c>
    </row>
    <row r="27" spans="1:11" x14ac:dyDescent="0.3">
      <c r="A27" t="s">
        <v>40</v>
      </c>
      <c r="B27">
        <f>B23+B25+(B26/B19)</f>
        <v>8.9999999999999993E-3</v>
      </c>
      <c r="E27" s="24" t="s">
        <v>116</v>
      </c>
      <c r="F27">
        <f>'Income and Expenses'!K18/F7</f>
        <v>0.14999999999999997</v>
      </c>
      <c r="G27">
        <f>'Income and Expenses'!L18/G7</f>
        <v>0.375</v>
      </c>
      <c r="H27">
        <f>'Income and Expenses'!M18/H7</f>
        <v>0.13999999999999999</v>
      </c>
    </row>
    <row r="28" spans="1:11" x14ac:dyDescent="0.3">
      <c r="A28" t="s">
        <v>41</v>
      </c>
      <c r="B28">
        <f>B27*B17</f>
        <v>9.8999999999999999E-4</v>
      </c>
      <c r="E28" t="s">
        <v>18</v>
      </c>
      <c r="F28" s="14">
        <f>SUM(F21:F27)</f>
        <v>0.23775999999999997</v>
      </c>
      <c r="G28" s="14">
        <f>SUM(G21:G27)</f>
        <v>0.50726000000000004</v>
      </c>
      <c r="H28" s="14">
        <f>SUM(H21:H27)</f>
        <v>0.23974999999999999</v>
      </c>
    </row>
    <row r="30" spans="1:11" x14ac:dyDescent="0.3">
      <c r="A30" t="s">
        <v>43</v>
      </c>
      <c r="B30" t="str">
        <f>F6</f>
        <v>Corn</v>
      </c>
      <c r="C30" t="str">
        <f>G6</f>
        <v>Soybean</v>
      </c>
      <c r="D30" t="str">
        <f>H6</f>
        <v>Wheat</v>
      </c>
      <c r="E30" t="s">
        <v>93</v>
      </c>
    </row>
    <row r="31" spans="1:11" x14ac:dyDescent="0.3">
      <c r="A31" t="s">
        <v>46</v>
      </c>
      <c r="B31" s="11">
        <v>1</v>
      </c>
      <c r="C31" s="11">
        <v>1</v>
      </c>
      <c r="D31" s="11">
        <v>2</v>
      </c>
      <c r="F31" t="str">
        <f>F6</f>
        <v>Corn</v>
      </c>
      <c r="H31" t="str">
        <f>G6</f>
        <v>Soybean</v>
      </c>
      <c r="J31" t="str">
        <f>H6</f>
        <v>Wheat</v>
      </c>
    </row>
    <row r="32" spans="1:11" x14ac:dyDescent="0.3">
      <c r="A32" t="s">
        <v>44</v>
      </c>
      <c r="B32" s="11">
        <v>160</v>
      </c>
      <c r="C32" s="11">
        <v>160</v>
      </c>
      <c r="D32" s="11">
        <v>160</v>
      </c>
      <c r="E32" t="s">
        <v>19</v>
      </c>
      <c r="F32" t="s">
        <v>20</v>
      </c>
      <c r="G32" t="s">
        <v>21</v>
      </c>
      <c r="H32" t="s">
        <v>20</v>
      </c>
      <c r="I32" t="s">
        <v>21</v>
      </c>
      <c r="J32" t="s">
        <v>20</v>
      </c>
      <c r="K32" t="s">
        <v>21</v>
      </c>
    </row>
    <row r="33" spans="1:11" x14ac:dyDescent="0.3">
      <c r="A33" t="s">
        <v>88</v>
      </c>
      <c r="B33" s="11">
        <v>2.9999999999999997E-4</v>
      </c>
      <c r="C33" s="11">
        <v>2.9999999999999997E-4</v>
      </c>
      <c r="D33" s="11">
        <v>6.9999999999999999E-4</v>
      </c>
      <c r="E33" t="s">
        <v>31</v>
      </c>
      <c r="F33" s="13">
        <v>0</v>
      </c>
      <c r="G33" s="12"/>
      <c r="H33" s="13">
        <v>0</v>
      </c>
      <c r="I33" s="12"/>
      <c r="J33" s="13">
        <v>1</v>
      </c>
      <c r="K33" s="12"/>
    </row>
    <row r="34" spans="1:11" x14ac:dyDescent="0.3">
      <c r="A34" t="s">
        <v>45</v>
      </c>
      <c r="B34">
        <f>B32*B33</f>
        <v>4.7999999999999994E-2</v>
      </c>
      <c r="C34">
        <f>C32*C33</f>
        <v>4.7999999999999994E-2</v>
      </c>
      <c r="D34">
        <f>D32*D33</f>
        <v>0.112</v>
      </c>
      <c r="E34" t="s">
        <v>32</v>
      </c>
      <c r="F34" s="13">
        <v>0</v>
      </c>
      <c r="G34" s="12">
        <f>IF(F33&gt;0,(F33-F34),0)</f>
        <v>0</v>
      </c>
      <c r="H34" s="13">
        <v>0</v>
      </c>
      <c r="I34" s="12">
        <f>IF(H33&gt;0,(H33-H34),0)</f>
        <v>0</v>
      </c>
      <c r="J34" s="13">
        <v>0.9</v>
      </c>
      <c r="K34" s="12">
        <f t="shared" ref="K34:K44" si="0">IF(J33&gt;0,(J33-J34),0)</f>
        <v>9.9999999999999978E-2</v>
      </c>
    </row>
    <row r="35" spans="1:11" x14ac:dyDescent="0.3">
      <c r="A35" t="s">
        <v>81</v>
      </c>
      <c r="B35" s="18">
        <f>B34*$B$17</f>
        <v>5.2799999999999991E-3</v>
      </c>
      <c r="C35" s="18">
        <f>C34*$B$17</f>
        <v>5.2799999999999991E-3</v>
      </c>
      <c r="D35" s="18">
        <f>D34*$B$17</f>
        <v>1.2320000000000001E-2</v>
      </c>
      <c r="E35" t="s">
        <v>34</v>
      </c>
      <c r="F35" s="13">
        <v>0</v>
      </c>
      <c r="G35" s="12">
        <f t="shared" ref="G35:I44" si="1">IF(F34&gt;0,(F34-F35),0)</f>
        <v>0</v>
      </c>
      <c r="H35" s="13">
        <v>0</v>
      </c>
      <c r="I35" s="12">
        <f t="shared" si="1"/>
        <v>0</v>
      </c>
      <c r="J35" s="13">
        <v>0.9</v>
      </c>
      <c r="K35" s="12">
        <f t="shared" si="0"/>
        <v>0</v>
      </c>
    </row>
    <row r="36" spans="1:11" x14ac:dyDescent="0.3">
      <c r="A36" t="s">
        <v>47</v>
      </c>
      <c r="B36" s="18">
        <f>B35*B31</f>
        <v>5.2799999999999991E-3</v>
      </c>
      <c r="C36" s="18">
        <f>C35*C31</f>
        <v>5.2799999999999991E-3</v>
      </c>
      <c r="D36" s="18">
        <f>D35*D31</f>
        <v>2.4640000000000002E-2</v>
      </c>
      <c r="E36" t="s">
        <v>22</v>
      </c>
      <c r="F36" s="13">
        <v>1</v>
      </c>
      <c r="G36" s="12">
        <f t="shared" si="1"/>
        <v>0</v>
      </c>
      <c r="H36" s="13">
        <v>1</v>
      </c>
      <c r="I36" s="12">
        <f t="shared" si="1"/>
        <v>0</v>
      </c>
      <c r="J36" s="13">
        <v>0.7</v>
      </c>
      <c r="K36" s="12">
        <f t="shared" si="0"/>
        <v>0.20000000000000007</v>
      </c>
    </row>
    <row r="37" spans="1:11" x14ac:dyDescent="0.3">
      <c r="E37" t="s">
        <v>23</v>
      </c>
      <c r="F37" s="13">
        <v>1</v>
      </c>
      <c r="G37" s="12">
        <f t="shared" si="1"/>
        <v>0</v>
      </c>
      <c r="H37" s="13">
        <v>1</v>
      </c>
      <c r="I37" s="12">
        <f t="shared" si="1"/>
        <v>0</v>
      </c>
      <c r="J37" s="13">
        <v>0.6</v>
      </c>
      <c r="K37" s="12">
        <f t="shared" si="0"/>
        <v>9.9999999999999978E-2</v>
      </c>
    </row>
    <row r="38" spans="1:11" x14ac:dyDescent="0.3">
      <c r="A38" t="s">
        <v>89</v>
      </c>
      <c r="E38" t="s">
        <v>24</v>
      </c>
      <c r="F38" s="13">
        <v>0.95</v>
      </c>
      <c r="G38" s="12">
        <f t="shared" si="1"/>
        <v>5.0000000000000044E-2</v>
      </c>
      <c r="H38" s="13">
        <v>0.95</v>
      </c>
      <c r="I38" s="12">
        <f t="shared" si="1"/>
        <v>5.0000000000000044E-2</v>
      </c>
      <c r="J38" s="13">
        <v>0.5</v>
      </c>
      <c r="K38" s="12">
        <f t="shared" si="0"/>
        <v>9.9999999999999978E-2</v>
      </c>
    </row>
    <row r="39" spans="1:11" x14ac:dyDescent="0.3">
      <c r="A39" t="s">
        <v>90</v>
      </c>
      <c r="B39" s="23">
        <v>0.13</v>
      </c>
      <c r="E39" t="s">
        <v>25</v>
      </c>
      <c r="F39" s="13">
        <v>0.9</v>
      </c>
      <c r="G39" s="12">
        <f t="shared" si="1"/>
        <v>4.9999999999999933E-2</v>
      </c>
      <c r="H39" s="13">
        <v>0.9</v>
      </c>
      <c r="I39" s="12">
        <f t="shared" si="1"/>
        <v>4.9999999999999933E-2</v>
      </c>
      <c r="J39" s="13">
        <v>0.4</v>
      </c>
      <c r="K39" s="12">
        <f t="shared" si="0"/>
        <v>9.9999999999999978E-2</v>
      </c>
    </row>
    <row r="40" spans="1:11" x14ac:dyDescent="0.3">
      <c r="A40" t="s">
        <v>91</v>
      </c>
      <c r="B40" s="23">
        <v>0.12</v>
      </c>
      <c r="E40" t="s">
        <v>26</v>
      </c>
      <c r="F40" s="13">
        <v>0.75</v>
      </c>
      <c r="G40" s="12">
        <f t="shared" si="1"/>
        <v>0.15000000000000002</v>
      </c>
      <c r="H40" s="13">
        <v>0.75</v>
      </c>
      <c r="I40" s="12">
        <f t="shared" si="1"/>
        <v>0.15000000000000002</v>
      </c>
      <c r="J40" s="13">
        <v>0.3</v>
      </c>
      <c r="K40" s="12">
        <f t="shared" si="0"/>
        <v>0.10000000000000003</v>
      </c>
    </row>
    <row r="41" spans="1:11" x14ac:dyDescent="0.3">
      <c r="A41" t="s">
        <v>92</v>
      </c>
      <c r="B41" s="22">
        <f>1-((1-B39)/(1-B40))</f>
        <v>1.1363636363636354E-2</v>
      </c>
      <c r="E41" t="s">
        <v>27</v>
      </c>
      <c r="F41" s="13">
        <v>0.6</v>
      </c>
      <c r="G41" s="12">
        <f t="shared" si="1"/>
        <v>0.15000000000000002</v>
      </c>
      <c r="H41" s="13">
        <v>0.6</v>
      </c>
      <c r="I41" s="12">
        <f t="shared" si="1"/>
        <v>0.15000000000000002</v>
      </c>
      <c r="J41" s="13">
        <v>0.2</v>
      </c>
      <c r="K41" s="12">
        <f t="shared" si="0"/>
        <v>9.9999999999999978E-2</v>
      </c>
    </row>
    <row r="42" spans="1:11" x14ac:dyDescent="0.3">
      <c r="A42" s="29" t="s">
        <v>111</v>
      </c>
      <c r="E42" t="s">
        <v>28</v>
      </c>
      <c r="F42" s="13">
        <v>0.45</v>
      </c>
      <c r="G42" s="12">
        <f t="shared" si="1"/>
        <v>0.14999999999999997</v>
      </c>
      <c r="H42" s="13">
        <v>0.45</v>
      </c>
      <c r="I42" s="12">
        <f t="shared" si="1"/>
        <v>0.14999999999999997</v>
      </c>
      <c r="J42" s="13">
        <v>0.1</v>
      </c>
      <c r="K42" s="12">
        <f t="shared" si="0"/>
        <v>0.1</v>
      </c>
    </row>
    <row r="43" spans="1:11" x14ac:dyDescent="0.3">
      <c r="E43" t="s">
        <v>29</v>
      </c>
      <c r="F43" s="13">
        <v>0.35</v>
      </c>
      <c r="G43" s="12">
        <f t="shared" si="1"/>
        <v>0.10000000000000003</v>
      </c>
      <c r="H43" s="13">
        <v>0.35</v>
      </c>
      <c r="I43" s="12">
        <f t="shared" si="1"/>
        <v>0.10000000000000003</v>
      </c>
      <c r="J43" s="13">
        <v>0</v>
      </c>
      <c r="K43" s="12">
        <f t="shared" si="0"/>
        <v>0.1</v>
      </c>
    </row>
    <row r="44" spans="1:11" x14ac:dyDescent="0.3">
      <c r="E44" t="s">
        <v>30</v>
      </c>
      <c r="F44" s="13">
        <v>0</v>
      </c>
      <c r="G44" s="12">
        <f t="shared" si="1"/>
        <v>0.35</v>
      </c>
      <c r="H44" s="13">
        <v>0</v>
      </c>
      <c r="I44" s="12">
        <f t="shared" si="1"/>
        <v>0.35</v>
      </c>
      <c r="J44" s="13">
        <v>0</v>
      </c>
      <c r="K44" s="12">
        <f t="shared" si="0"/>
        <v>0</v>
      </c>
    </row>
    <row r="45" spans="1:11" x14ac:dyDescent="0.3">
      <c r="F45" s="12"/>
      <c r="G45" s="12">
        <f>SUM(G33:G44)</f>
        <v>1</v>
      </c>
      <c r="H45" s="12"/>
      <c r="I45" s="12">
        <f>SUM(I33:I44)</f>
        <v>1</v>
      </c>
      <c r="J45" s="12"/>
      <c r="K45" s="12">
        <f>SUM(K33:K44)</f>
        <v>0.99999999999999989</v>
      </c>
    </row>
  </sheetData>
  <phoneticPr fontId="2" type="noConversion"/>
  <hyperlinks>
    <hyperlink ref="D4" location="'Income and Expenses'!A1" display="Go to Income and Expense Summary"/>
  </hyperlink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/>
  </sheetViews>
  <sheetFormatPr defaultRowHeight="15.6" x14ac:dyDescent="0.3"/>
  <cols>
    <col min="1" max="1" width="15.19921875" customWidth="1"/>
    <col min="2" max="4" width="10.8984375" bestFit="1" customWidth="1"/>
  </cols>
  <sheetData>
    <row r="1" spans="1:13" x14ac:dyDescent="0.3">
      <c r="A1" s="19" t="s">
        <v>59</v>
      </c>
    </row>
    <row r="2" spans="1:13" x14ac:dyDescent="0.3">
      <c r="B2" t="str">
        <f>Inputs!F6</f>
        <v>Corn</v>
      </c>
      <c r="C2" t="str">
        <f>Inputs!G6</f>
        <v>Soybean</v>
      </c>
      <c r="D2" t="str">
        <f>Inputs!H6</f>
        <v>Wheat</v>
      </c>
    </row>
    <row r="3" spans="1:13" x14ac:dyDescent="0.3">
      <c r="A3" t="s">
        <v>66</v>
      </c>
      <c r="B3" s="17">
        <f>Inputs!F7</f>
        <v>300000</v>
      </c>
      <c r="C3" s="17">
        <f>Inputs!G7</f>
        <v>300000</v>
      </c>
      <c r="D3" s="17">
        <f>Inputs!H7</f>
        <v>300000</v>
      </c>
    </row>
    <row r="4" spans="1:13" x14ac:dyDescent="0.3">
      <c r="A4" t="s">
        <v>67</v>
      </c>
      <c r="B4" s="1">
        <f>Inputs!F7*Inputs!F8</f>
        <v>51000.000000000007</v>
      </c>
      <c r="C4" s="1">
        <f>Inputs!G7*Inputs!G8</f>
        <v>51000.000000000007</v>
      </c>
      <c r="D4" s="1">
        <f>Inputs!H7*Inputs!H8</f>
        <v>51000.000000000007</v>
      </c>
    </row>
    <row r="5" spans="1:13" x14ac:dyDescent="0.3">
      <c r="A5" t="s">
        <v>60</v>
      </c>
      <c r="B5" s="1"/>
      <c r="C5" s="1"/>
      <c r="D5" s="1"/>
      <c r="J5" s="30" t="s">
        <v>117</v>
      </c>
      <c r="L5" s="24"/>
      <c r="M5" s="24"/>
    </row>
    <row r="6" spans="1:13" x14ac:dyDescent="0.3">
      <c r="A6" t="str">
        <f>Inputs!E33</f>
        <v>June</v>
      </c>
      <c r="B6" s="1">
        <f>Inputs!F33*Inputs!F$7*Inputs!F$9</f>
        <v>0</v>
      </c>
      <c r="C6" s="1">
        <f>Inputs!H33*Inputs!G$7*Inputs!G$9</f>
        <v>0</v>
      </c>
      <c r="D6" s="1">
        <f>Inputs!J33*Inputs!H$7*Inputs!H$9</f>
        <v>9000</v>
      </c>
      <c r="J6" t="str">
        <f t="shared" ref="J6:J17" si="0">A6</f>
        <v>June</v>
      </c>
      <c r="K6" s="1">
        <f>Inputs!F33*Inputs!F$7*Inputs!F$13*Inputs!$B$11*(Inputs!$B$12/12)</f>
        <v>0</v>
      </c>
      <c r="L6" s="1">
        <f>Inputs!H33*Inputs!G$7*Inputs!G$13*Inputs!$B$11*(Inputs!$B$12/12)</f>
        <v>0</v>
      </c>
      <c r="M6" s="1">
        <f>Inputs!J33*Inputs!H$7*Inputs!H$13*Inputs!$B$11*(Inputs!$B$12/12)</f>
        <v>7499.9999999999991</v>
      </c>
    </row>
    <row r="7" spans="1:13" x14ac:dyDescent="0.3">
      <c r="A7" t="str">
        <f>Inputs!E34</f>
        <v>July</v>
      </c>
      <c r="B7" s="1">
        <f>Inputs!F34*Inputs!F$7*Inputs!F$9</f>
        <v>0</v>
      </c>
      <c r="C7" s="1">
        <f>Inputs!H34*Inputs!G$7*Inputs!G$9</f>
        <v>0</v>
      </c>
      <c r="D7" s="1">
        <f>Inputs!J34*Inputs!H$7*Inputs!H$9</f>
        <v>8100</v>
      </c>
      <c r="J7" t="str">
        <f t="shared" si="0"/>
        <v>July</v>
      </c>
      <c r="K7" s="1">
        <f>Inputs!F34*Inputs!F$7*Inputs!F$13*Inputs!$B$11*(Inputs!$B$12/12)</f>
        <v>0</v>
      </c>
      <c r="L7" s="1">
        <f>Inputs!H34*Inputs!G$7*Inputs!G$13*Inputs!$B$11*(Inputs!$B$12/12)</f>
        <v>0</v>
      </c>
      <c r="M7" s="1">
        <f>Inputs!J34*Inputs!H$7*Inputs!H$13*Inputs!$B$11*(Inputs!$B$12/12)</f>
        <v>6749.9999999999991</v>
      </c>
    </row>
    <row r="8" spans="1:13" x14ac:dyDescent="0.3">
      <c r="A8" t="str">
        <f>Inputs!E35</f>
        <v>August</v>
      </c>
      <c r="B8" s="1">
        <f>Inputs!F35*Inputs!F$7*Inputs!F$9</f>
        <v>0</v>
      </c>
      <c r="C8" s="1">
        <f>Inputs!H35*Inputs!G$7*Inputs!G$9</f>
        <v>0</v>
      </c>
      <c r="D8" s="1">
        <f>Inputs!J35*Inputs!H$7*Inputs!H$9</f>
        <v>8100</v>
      </c>
      <c r="F8" s="27" t="s">
        <v>109</v>
      </c>
      <c r="J8" t="str">
        <f t="shared" si="0"/>
        <v>August</v>
      </c>
      <c r="K8" s="1">
        <f>Inputs!F35*Inputs!F$7*Inputs!F$13*Inputs!$B$11*(Inputs!$B$12/12)</f>
        <v>0</v>
      </c>
      <c r="L8" s="1">
        <f>Inputs!H35*Inputs!G$7*Inputs!G$13*Inputs!$B$11*(Inputs!$B$12/12)</f>
        <v>0</v>
      </c>
      <c r="M8" s="1">
        <f>Inputs!J35*Inputs!H$7*Inputs!H$13*Inputs!$B$11*(Inputs!$B$12/12)</f>
        <v>6749.9999999999991</v>
      </c>
    </row>
    <row r="9" spans="1:13" x14ac:dyDescent="0.3">
      <c r="A9" t="str">
        <f>Inputs!E36</f>
        <v>September</v>
      </c>
      <c r="B9" s="1">
        <f>Inputs!F36*Inputs!F$7*Inputs!F$9</f>
        <v>9000</v>
      </c>
      <c r="C9" s="1">
        <f>Inputs!H36*Inputs!G$7*Inputs!G$9</f>
        <v>9000</v>
      </c>
      <c r="D9" s="1">
        <f>Inputs!J36*Inputs!H$7*Inputs!H$9</f>
        <v>6300</v>
      </c>
      <c r="J9" t="str">
        <f t="shared" si="0"/>
        <v>September</v>
      </c>
      <c r="K9" s="1">
        <f>Inputs!F36*Inputs!F$7*Inputs!F$13*Inputs!$B$11*(Inputs!$B$12/12)</f>
        <v>7499.9999999999991</v>
      </c>
      <c r="L9" s="1">
        <f>Inputs!H36*Inputs!G$7*Inputs!G$13*Inputs!$B$11*(Inputs!$B$12/12)</f>
        <v>18750</v>
      </c>
      <c r="M9" s="1">
        <f>Inputs!J36*Inputs!H$7*Inputs!H$13*Inputs!$B$11*(Inputs!$B$12/12)</f>
        <v>5250</v>
      </c>
    </row>
    <row r="10" spans="1:13" x14ac:dyDescent="0.3">
      <c r="A10" t="str">
        <f>Inputs!E37</f>
        <v>October</v>
      </c>
      <c r="B10" s="1">
        <f>Inputs!F37*Inputs!F$7*Inputs!F$9</f>
        <v>9000</v>
      </c>
      <c r="C10" s="1">
        <f>Inputs!H37*Inputs!G$7*Inputs!G$9</f>
        <v>9000</v>
      </c>
      <c r="D10" s="1">
        <f>Inputs!J37*Inputs!H$7*Inputs!H$9</f>
        <v>5400</v>
      </c>
      <c r="J10" t="str">
        <f t="shared" si="0"/>
        <v>October</v>
      </c>
      <c r="K10" s="1">
        <f>Inputs!F37*Inputs!F$7*Inputs!F$13*Inputs!$B$11*(Inputs!$B$12/12)</f>
        <v>7499.9999999999991</v>
      </c>
      <c r="L10" s="1">
        <f>Inputs!H37*Inputs!G$7*Inputs!G$13*Inputs!$B$11*(Inputs!$B$12/12)</f>
        <v>18750</v>
      </c>
      <c r="M10" s="1">
        <f>Inputs!J37*Inputs!H$7*Inputs!H$13*Inputs!$B$11*(Inputs!$B$12/12)</f>
        <v>4500</v>
      </c>
    </row>
    <row r="11" spans="1:13" x14ac:dyDescent="0.3">
      <c r="A11" t="str">
        <f>Inputs!E38</f>
        <v>November</v>
      </c>
      <c r="B11" s="1">
        <f>Inputs!F38*Inputs!F$7*Inputs!F$9</f>
        <v>8550</v>
      </c>
      <c r="C11" s="1">
        <f>Inputs!H38*Inputs!G$7*Inputs!G$9</f>
        <v>8550</v>
      </c>
      <c r="D11" s="1">
        <f>Inputs!J38*Inputs!H$7*Inputs!H$9</f>
        <v>4500</v>
      </c>
      <c r="J11" t="str">
        <f t="shared" si="0"/>
        <v>November</v>
      </c>
      <c r="K11" s="1">
        <f>Inputs!F38*Inputs!F$7*Inputs!F$13*Inputs!$B$11*(Inputs!$B$12/12)</f>
        <v>7124.9999999999991</v>
      </c>
      <c r="L11" s="1">
        <f>Inputs!H38*Inputs!G$7*Inputs!G$13*Inputs!$B$11*(Inputs!$B$12/12)</f>
        <v>17812.5</v>
      </c>
      <c r="M11" s="1">
        <f>Inputs!J38*Inputs!H$7*Inputs!H$13*Inputs!$B$11*(Inputs!$B$12/12)</f>
        <v>3749.9999999999995</v>
      </c>
    </row>
    <row r="12" spans="1:13" x14ac:dyDescent="0.3">
      <c r="A12" t="str">
        <f>Inputs!E39</f>
        <v>December</v>
      </c>
      <c r="B12" s="1">
        <f>Inputs!F39*Inputs!F$7*Inputs!F$9</f>
        <v>8100</v>
      </c>
      <c r="C12" s="1">
        <f>Inputs!H39*Inputs!G$7*Inputs!G$9</f>
        <v>8100</v>
      </c>
      <c r="D12" s="1">
        <f>Inputs!J39*Inputs!H$7*Inputs!H$9</f>
        <v>3600</v>
      </c>
      <c r="J12" t="str">
        <f t="shared" si="0"/>
        <v>December</v>
      </c>
      <c r="K12" s="1">
        <f>Inputs!F39*Inputs!F$7*Inputs!F$13*Inputs!$B$11*(Inputs!$B$12/12)</f>
        <v>6749.9999999999991</v>
      </c>
      <c r="L12" s="1">
        <f>Inputs!H39*Inputs!G$7*Inputs!G$13*Inputs!$B$11*(Inputs!$B$12/12)</f>
        <v>16875</v>
      </c>
      <c r="M12" s="1">
        <f>Inputs!J39*Inputs!H$7*Inputs!H$13*Inputs!$B$11*(Inputs!$B$12/12)</f>
        <v>2999.9999999999995</v>
      </c>
    </row>
    <row r="13" spans="1:13" x14ac:dyDescent="0.3">
      <c r="A13" t="str">
        <f>Inputs!E40</f>
        <v>January</v>
      </c>
      <c r="B13" s="1">
        <f>Inputs!F40*Inputs!F$7*Inputs!F$9</f>
        <v>6750</v>
      </c>
      <c r="C13" s="1">
        <f>Inputs!H40*Inputs!G$7*Inputs!G$9</f>
        <v>6750</v>
      </c>
      <c r="D13" s="1">
        <f>Inputs!J40*Inputs!H$7*Inputs!H$9</f>
        <v>2700</v>
      </c>
      <c r="J13" t="str">
        <f t="shared" si="0"/>
        <v>January</v>
      </c>
      <c r="K13" s="1">
        <f>Inputs!F40*Inputs!F$7*Inputs!F$13*Inputs!$B$11*(Inputs!$B$12/12)</f>
        <v>5624.9999999999991</v>
      </c>
      <c r="L13" s="1">
        <f>Inputs!H40*Inputs!G$7*Inputs!G$13*Inputs!$B$11*(Inputs!$B$12/12)</f>
        <v>14062.499999999998</v>
      </c>
      <c r="M13" s="1">
        <f>Inputs!J40*Inputs!H$7*Inputs!H$13*Inputs!$B$11*(Inputs!$B$12/12)</f>
        <v>2250</v>
      </c>
    </row>
    <row r="14" spans="1:13" x14ac:dyDescent="0.3">
      <c r="A14" t="str">
        <f>Inputs!E41</f>
        <v>February</v>
      </c>
      <c r="B14" s="1">
        <f>Inputs!F41*Inputs!F$7*Inputs!F$9</f>
        <v>5400</v>
      </c>
      <c r="C14" s="1">
        <f>Inputs!H41*Inputs!G$7*Inputs!G$9</f>
        <v>5400</v>
      </c>
      <c r="D14" s="1">
        <f>Inputs!J41*Inputs!H$7*Inputs!H$9</f>
        <v>1800</v>
      </c>
      <c r="J14" t="str">
        <f t="shared" si="0"/>
        <v>February</v>
      </c>
      <c r="K14" s="1">
        <f>Inputs!F41*Inputs!F$7*Inputs!F$13*Inputs!$B$11*(Inputs!$B$12/12)</f>
        <v>4500</v>
      </c>
      <c r="L14" s="1">
        <f>Inputs!H41*Inputs!G$7*Inputs!G$13*Inputs!$B$11*(Inputs!$B$12/12)</f>
        <v>11249.999999999998</v>
      </c>
      <c r="M14" s="1">
        <f>Inputs!J41*Inputs!H$7*Inputs!H$13*Inputs!$B$11*(Inputs!$B$12/12)</f>
        <v>1499.9999999999998</v>
      </c>
    </row>
    <row r="15" spans="1:13" x14ac:dyDescent="0.3">
      <c r="A15" t="str">
        <f>Inputs!E42</f>
        <v>March</v>
      </c>
      <c r="B15" s="1">
        <f>Inputs!F42*Inputs!F$7*Inputs!F$9</f>
        <v>4050</v>
      </c>
      <c r="C15" s="1">
        <f>Inputs!H42*Inputs!G$7*Inputs!G$9</f>
        <v>4050</v>
      </c>
      <c r="D15" s="1">
        <f>Inputs!J42*Inputs!H$7*Inputs!H$9</f>
        <v>900</v>
      </c>
      <c r="J15" t="str">
        <f t="shared" si="0"/>
        <v>March</v>
      </c>
      <c r="K15" s="1">
        <f>Inputs!F42*Inputs!F$7*Inputs!F$13*Inputs!$B$11*(Inputs!$B$12/12)</f>
        <v>3374.9999999999995</v>
      </c>
      <c r="L15" s="1">
        <f>Inputs!H42*Inputs!G$7*Inputs!G$13*Inputs!$B$11*(Inputs!$B$12/12)</f>
        <v>8437.5</v>
      </c>
      <c r="M15" s="1">
        <f>Inputs!J42*Inputs!H$7*Inputs!H$13*Inputs!$B$11*(Inputs!$B$12/12)</f>
        <v>749.99999999999989</v>
      </c>
    </row>
    <row r="16" spans="1:13" x14ac:dyDescent="0.3">
      <c r="A16" t="str">
        <f>Inputs!E43</f>
        <v>April</v>
      </c>
      <c r="B16" s="1">
        <f>Inputs!F43*Inputs!F$7*Inputs!F$9</f>
        <v>3150</v>
      </c>
      <c r="C16" s="1">
        <f>Inputs!H43*Inputs!G$7*Inputs!G$9</f>
        <v>3150</v>
      </c>
      <c r="D16" s="1">
        <f>Inputs!J43*Inputs!H$7*Inputs!H$9</f>
        <v>0</v>
      </c>
      <c r="J16" t="str">
        <f t="shared" si="0"/>
        <v>April</v>
      </c>
      <c r="K16" s="1">
        <f>Inputs!F43*Inputs!F$7*Inputs!F$13*Inputs!$B$11*(Inputs!$B$12/12)</f>
        <v>2625</v>
      </c>
      <c r="L16" s="1">
        <f>Inputs!H43*Inputs!G$7*Inputs!G$13*Inputs!$B$11*(Inputs!$B$12/12)</f>
        <v>6562.4999999999991</v>
      </c>
      <c r="M16" s="1">
        <f>Inputs!J43*Inputs!H$7*Inputs!H$13*Inputs!$B$11*(Inputs!$B$12/12)</f>
        <v>0</v>
      </c>
    </row>
    <row r="17" spans="1:13" x14ac:dyDescent="0.3">
      <c r="A17" t="str">
        <f>Inputs!E44</f>
        <v>May</v>
      </c>
      <c r="B17" s="1">
        <f>Inputs!F44*Inputs!F$7*Inputs!F$9</f>
        <v>0</v>
      </c>
      <c r="C17" s="1">
        <f>Inputs!H44*Inputs!G$7*Inputs!G$9</f>
        <v>0</v>
      </c>
      <c r="D17" s="1">
        <f>Inputs!J44*Inputs!H$7*Inputs!H$9</f>
        <v>0</v>
      </c>
      <c r="J17" t="str">
        <f t="shared" si="0"/>
        <v>May</v>
      </c>
      <c r="K17" s="1">
        <f>Inputs!F44*Inputs!F$7*Inputs!F$13*Inputs!$B$11*(Inputs!$B$12/12)</f>
        <v>0</v>
      </c>
      <c r="L17" s="1">
        <f>Inputs!H44*Inputs!G$7*Inputs!G$13*Inputs!$B$11*(Inputs!$B$12/12)</f>
        <v>0</v>
      </c>
      <c r="M17" s="1">
        <f>Inputs!J44*Inputs!H$7*Inputs!H$13*Inputs!$B$11*(Inputs!$B$12/12)</f>
        <v>0</v>
      </c>
    </row>
    <row r="18" spans="1:13" x14ac:dyDescent="0.3">
      <c r="A18" s="19" t="s">
        <v>61</v>
      </c>
      <c r="B18" s="1">
        <f>SUM(B6:B17)</f>
        <v>54000</v>
      </c>
      <c r="C18" s="1">
        <f>SUM(C6:C17)</f>
        <v>54000</v>
      </c>
      <c r="D18" s="1">
        <f>SUM(D6:D17)</f>
        <v>50400</v>
      </c>
      <c r="J18" s="24" t="s">
        <v>115</v>
      </c>
      <c r="K18" s="1">
        <f>SUM(K6:K17)</f>
        <v>44999.999999999993</v>
      </c>
      <c r="L18" s="1">
        <f>SUM(L6:L17)</f>
        <v>112500</v>
      </c>
      <c r="M18" s="1">
        <f>SUM(M6:M17)</f>
        <v>41999.999999999993</v>
      </c>
    </row>
    <row r="19" spans="1:13" x14ac:dyDescent="0.3">
      <c r="B19" s="1"/>
      <c r="C19" s="1"/>
      <c r="D19" s="1"/>
    </row>
    <row r="20" spans="1:13" x14ac:dyDescent="0.3">
      <c r="A20" s="19" t="s">
        <v>62</v>
      </c>
      <c r="B20" s="1">
        <f>B4+B18</f>
        <v>105000</v>
      </c>
      <c r="C20" s="1">
        <f>C4+C18</f>
        <v>105000</v>
      </c>
      <c r="D20" s="1">
        <f>D4+D18</f>
        <v>101400</v>
      </c>
    </row>
    <row r="21" spans="1:13" x14ac:dyDescent="0.3">
      <c r="A21" s="19" t="s">
        <v>63</v>
      </c>
      <c r="B21" s="3">
        <f>B20/Inputs!F7</f>
        <v>0.35</v>
      </c>
      <c r="C21" s="3">
        <f>C20/Inputs!G7</f>
        <v>0.35</v>
      </c>
      <c r="D21" s="3">
        <f>D20/Inputs!H7</f>
        <v>0.33800000000000002</v>
      </c>
    </row>
    <row r="23" spans="1:13" x14ac:dyDescent="0.3">
      <c r="A23" s="19" t="s">
        <v>64</v>
      </c>
      <c r="B23" s="1">
        <f>B24*B3</f>
        <v>71327.999999999985</v>
      </c>
      <c r="C23" s="1">
        <f>C24*C3</f>
        <v>152178</v>
      </c>
      <c r="D23" s="1">
        <f>D24*D3</f>
        <v>71925</v>
      </c>
    </row>
    <row r="24" spans="1:13" x14ac:dyDescent="0.3">
      <c r="A24" s="19" t="s">
        <v>65</v>
      </c>
      <c r="B24" s="25">
        <f>Inputs!F28</f>
        <v>0.23775999999999997</v>
      </c>
      <c r="C24" s="25">
        <f>Inputs!G28</f>
        <v>0.50726000000000004</v>
      </c>
      <c r="D24" s="25">
        <f>Inputs!H28</f>
        <v>0.23974999999999999</v>
      </c>
      <c r="F24" s="19" t="s">
        <v>96</v>
      </c>
    </row>
    <row r="26" spans="1:13" x14ac:dyDescent="0.3">
      <c r="A26" s="19" t="s">
        <v>68</v>
      </c>
    </row>
    <row r="27" spans="1:13" x14ac:dyDescent="0.3">
      <c r="A27" t="s">
        <v>70</v>
      </c>
      <c r="B27" t="str">
        <f>Inputs!F6</f>
        <v>Corn</v>
      </c>
      <c r="C27" t="str">
        <f>Inputs!G6</f>
        <v>Soybean</v>
      </c>
      <c r="D27" t="str">
        <f>Inputs!H6</f>
        <v>Wheat</v>
      </c>
    </row>
    <row r="28" spans="1:13" x14ac:dyDescent="0.3">
      <c r="B28" s="2">
        <f>B3/($B3+$C3+$D3)</f>
        <v>0.33333333333333331</v>
      </c>
      <c r="C28" s="2">
        <f>C3/($B3+$C3+$D3)</f>
        <v>0.33333333333333331</v>
      </c>
      <c r="D28" s="2">
        <f>D3/($B3+$C3+$D3)</f>
        <v>0.33333333333333331</v>
      </c>
    </row>
    <row r="29" spans="1:13" x14ac:dyDescent="0.3">
      <c r="A29" t="s">
        <v>69</v>
      </c>
      <c r="B29" s="1">
        <f>Inputs!$B$13*B28</f>
        <v>0</v>
      </c>
      <c r="C29" s="1">
        <f>Inputs!$B$13*C28</f>
        <v>0</v>
      </c>
      <c r="D29" s="1">
        <f>Inputs!$B$13*D28</f>
        <v>0</v>
      </c>
      <c r="E29" s="3"/>
    </row>
    <row r="30" spans="1:13" x14ac:dyDescent="0.3">
      <c r="A30" t="s">
        <v>87</v>
      </c>
      <c r="B30" s="1">
        <f>B29*Inputs!$B$14</f>
        <v>0</v>
      </c>
      <c r="C30" s="1">
        <f>C29*Inputs!$B$14</f>
        <v>0</v>
      </c>
      <c r="D30" s="1">
        <f>D29*Inputs!$B$14</f>
        <v>0</v>
      </c>
      <c r="E30" s="3"/>
    </row>
    <row r="31" spans="1:13" x14ac:dyDescent="0.3">
      <c r="A31" t="s">
        <v>71</v>
      </c>
      <c r="B31" s="1">
        <f>Inputs!$B$6*Inputs!$B$7*B28</f>
        <v>4166.6666666666661</v>
      </c>
      <c r="C31" s="1">
        <f>Inputs!$B$6*Inputs!$B$7*C28</f>
        <v>4166.6666666666661</v>
      </c>
      <c r="D31" s="1">
        <f>Inputs!$B$6*Inputs!$B$7*D28</f>
        <v>4166.6666666666661</v>
      </c>
      <c r="E31" s="3"/>
    </row>
    <row r="32" spans="1:13" x14ac:dyDescent="0.3">
      <c r="A32" t="s">
        <v>72</v>
      </c>
      <c r="B32" s="1">
        <f>Inputs!$B$6*Inputs!$B$9*B28</f>
        <v>6250</v>
      </c>
      <c r="C32" s="1">
        <f>Inputs!$B$6*Inputs!$B$9*C28</f>
        <v>6250</v>
      </c>
      <c r="D32" s="1">
        <f>Inputs!$B$6*Inputs!$B$9*D28</f>
        <v>6250</v>
      </c>
      <c r="E32" s="3"/>
      <c r="F32" s="19" t="s">
        <v>97</v>
      </c>
    </row>
    <row r="33" spans="1:5" x14ac:dyDescent="0.3">
      <c r="A33" t="s">
        <v>73</v>
      </c>
      <c r="B33" s="1">
        <f>Inputs!$B$6*Inputs!$B$10*Inputs!$B$12*B28</f>
        <v>10312.5</v>
      </c>
      <c r="C33" s="1">
        <f>Inputs!$B$6*Inputs!$B$10*Inputs!$B$12*C28</f>
        <v>10312.5</v>
      </c>
      <c r="D33" s="1">
        <f>Inputs!$B$6*Inputs!$B$10*Inputs!$B$12*D28</f>
        <v>10312.5</v>
      </c>
      <c r="E33" s="3"/>
    </row>
    <row r="34" spans="1:5" x14ac:dyDescent="0.3">
      <c r="A34" t="s">
        <v>74</v>
      </c>
      <c r="B34" s="1">
        <f>(Inputs!$B$15+Inputs!$B$16)*B28</f>
        <v>0</v>
      </c>
      <c r="C34" s="1">
        <f>(Inputs!$B$15+Inputs!$B$16)*C28</f>
        <v>0</v>
      </c>
      <c r="D34" s="1">
        <f>(Inputs!$B$15+Inputs!$B$16)*D28</f>
        <v>0</v>
      </c>
      <c r="E34" s="3"/>
    </row>
    <row r="35" spans="1:5" x14ac:dyDescent="0.3">
      <c r="A35" s="24" t="s">
        <v>112</v>
      </c>
      <c r="B35" s="1">
        <f>(Inputs!$B$6/30)*B28</f>
        <v>13888.888888888887</v>
      </c>
      <c r="C35" s="1">
        <f>(Inputs!$B$6/30)*C28</f>
        <v>13888.888888888887</v>
      </c>
      <c r="D35" s="1">
        <f>(Inputs!$B$6/30)*D28</f>
        <v>13888.888888888887</v>
      </c>
      <c r="E35" s="3"/>
    </row>
    <row r="36" spans="1:5" x14ac:dyDescent="0.3">
      <c r="A36" s="19" t="s">
        <v>75</v>
      </c>
      <c r="B36" s="1">
        <f>SUM(B29:B34)</f>
        <v>20729.166666666664</v>
      </c>
      <c r="C36" s="1">
        <f>SUM(C29:C34)</f>
        <v>20729.166666666664</v>
      </c>
      <c r="D36" s="1">
        <f>SUM(D29:D34)</f>
        <v>20729.166666666664</v>
      </c>
      <c r="E36" s="3"/>
    </row>
    <row r="37" spans="1:5" x14ac:dyDescent="0.3">
      <c r="A37" s="19" t="s">
        <v>76</v>
      </c>
      <c r="B37" s="3">
        <f>B36/B3</f>
        <v>6.9097222222222213E-2</v>
      </c>
      <c r="C37" s="3">
        <f>C36/C3</f>
        <v>6.9097222222222213E-2</v>
      </c>
      <c r="D37" s="3">
        <f>D36/D3</f>
        <v>6.9097222222222213E-2</v>
      </c>
      <c r="E37" s="3"/>
    </row>
    <row r="38" spans="1:5" x14ac:dyDescent="0.3">
      <c r="A38" s="19"/>
    </row>
    <row r="39" spans="1:5" x14ac:dyDescent="0.3">
      <c r="A39" s="19" t="s">
        <v>77</v>
      </c>
      <c r="B39" s="1">
        <f t="shared" ref="B39:D40" si="1">B23+B36</f>
        <v>92057.166666666657</v>
      </c>
      <c r="C39" s="1">
        <f t="shared" si="1"/>
        <v>172907.16666666666</v>
      </c>
      <c r="D39" s="1">
        <f t="shared" si="1"/>
        <v>92654.166666666657</v>
      </c>
    </row>
    <row r="40" spans="1:5" x14ac:dyDescent="0.3">
      <c r="A40" s="19" t="s">
        <v>78</v>
      </c>
      <c r="B40" s="3">
        <f t="shared" si="1"/>
        <v>0.30685722222222217</v>
      </c>
      <c r="C40" s="3">
        <f t="shared" si="1"/>
        <v>0.5763572222222223</v>
      </c>
      <c r="D40" s="3">
        <f t="shared" si="1"/>
        <v>0.30884722222222222</v>
      </c>
    </row>
    <row r="41" spans="1:5" x14ac:dyDescent="0.3">
      <c r="A41" s="19"/>
    </row>
    <row r="42" spans="1:5" x14ac:dyDescent="0.3">
      <c r="A42" s="19" t="s">
        <v>79</v>
      </c>
      <c r="B42" s="1">
        <f t="shared" ref="B42:D43" si="2">B20-B39</f>
        <v>12942.833333333343</v>
      </c>
      <c r="C42" s="1">
        <f t="shared" si="2"/>
        <v>-67907.166666666657</v>
      </c>
      <c r="D42" s="1">
        <f t="shared" si="2"/>
        <v>8745.833333333343</v>
      </c>
    </row>
    <row r="43" spans="1:5" x14ac:dyDescent="0.3">
      <c r="A43" s="19" t="s">
        <v>80</v>
      </c>
      <c r="B43" s="3">
        <f t="shared" si="2"/>
        <v>4.3142777777777808E-2</v>
      </c>
      <c r="C43" s="3">
        <f t="shared" si="2"/>
        <v>-0.22635722222222232</v>
      </c>
      <c r="D43" s="3">
        <f t="shared" si="2"/>
        <v>2.9152777777777805E-2</v>
      </c>
    </row>
  </sheetData>
  <phoneticPr fontId="2" type="noConversion"/>
  <hyperlinks>
    <hyperlink ref="F8" location="Inputs!A1" display="Back to Input Page"/>
  </hyperlink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0F5E55C585DB41A8086B22A0BA3978" ma:contentTypeVersion="12" ma:contentTypeDescription="Create a new document." ma:contentTypeScope="" ma:versionID="a526b83bcfee6fd84cfb710f057456ee">
  <xsd:schema xmlns:xsd="http://www.w3.org/2001/XMLSchema" xmlns:xs="http://www.w3.org/2001/XMLSchema" xmlns:p="http://schemas.microsoft.com/office/2006/metadata/properties" xmlns:ns3="6d636ed6-4d22-4f9b-a70c-2b144907596b" xmlns:ns4="db382af5-41d1-4468-8b87-e2f8642e227d" targetNamespace="http://schemas.microsoft.com/office/2006/metadata/properties" ma:root="true" ma:fieldsID="b194897844178e75f74cb07577acc0c6" ns3:_="" ns4:_="">
    <xsd:import namespace="6d636ed6-4d22-4f9b-a70c-2b144907596b"/>
    <xsd:import namespace="db382af5-41d1-4468-8b87-e2f8642e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36ed6-4d22-4f9b-a70c-2b1449075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82af5-41d1-4468-8b87-e2f8642e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0450F7-E18D-419E-A6AD-80FA7A8FA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36ed6-4d22-4f9b-a70c-2b144907596b"/>
    <ds:schemaRef ds:uri="db382af5-41d1-4468-8b87-e2f8642e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5DE5D-2BDC-4478-A01D-C11410B849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FBECD0-F25B-42BB-A0A5-21A756DB30A3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b382af5-41d1-4468-8b87-e2f8642e227d"/>
    <ds:schemaRef ds:uri="6d636ed6-4d22-4f9b-a70c-2b14490759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Inputs</vt:lpstr>
      <vt:lpstr>Income and Expenses</vt:lpstr>
    </vt:vector>
  </TitlesOfParts>
  <Company>osu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kenkel</dc:creator>
  <cp:lastModifiedBy>Spradlin, Cassidy D</cp:lastModifiedBy>
  <dcterms:created xsi:type="dcterms:W3CDTF">2008-05-20T13:42:57Z</dcterms:created>
  <dcterms:modified xsi:type="dcterms:W3CDTF">2021-03-26T15:42:10Z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0x010100560F5E55C585DB41A8086B22A0BA3978</vt:lpwstr>
  </property>
</Properties>
</file>