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 tabRatio="965" firstSheet="9" activeTab="10"/>
  </bookViews>
  <sheets>
    <sheet name="Introduction" sheetId="3" r:id="rId1"/>
    <sheet name="Input Value" sheetId="1" r:id="rId2"/>
    <sheet name="Utilities" sheetId="10" r:id="rId3"/>
    <sheet name="Loan Amortization" sheetId="9" r:id="rId4"/>
    <sheet name="Market Projection" sheetId="2" r:id="rId5"/>
    <sheet name="Personnel Expenses" sheetId="8" r:id="rId6"/>
    <sheet name="Expense Projection" sheetId="4" r:id="rId7"/>
    <sheet name="Expense Projection per Bale" sheetId="13" r:id="rId8"/>
    <sheet name="Farmer Information" sheetId="15" state="hidden" r:id="rId9"/>
    <sheet name="Operations Summary" sheetId="5" r:id="rId10"/>
    <sheet name="Depreciation" sheetId="6" r:id="rId11"/>
    <sheet name="Efficiency" sheetId="12" r:id="rId12"/>
    <sheet name="Equipment" sheetId="11" r:id="rId13"/>
    <sheet name="Return On Investment" sheetId="7" r:id="rId14"/>
  </sheets>
  <calcPr calcId="162913"/>
</workbook>
</file>

<file path=xl/calcChain.xml><?xml version="1.0" encoding="utf-8"?>
<calcChain xmlns="http://schemas.openxmlformats.org/spreadsheetml/2006/main">
  <c r="D22" i="6" l="1"/>
  <c r="E22" i="6"/>
  <c r="I22" i="6"/>
  <c r="D31" i="6"/>
  <c r="C85" i="6" s="1"/>
  <c r="I31" i="6"/>
  <c r="D42" i="6"/>
  <c r="F42" i="6"/>
  <c r="G42" i="6"/>
  <c r="J42" i="6"/>
  <c r="C56" i="6"/>
  <c r="C60" i="6" s="1"/>
  <c r="H40" i="6" s="1"/>
  <c r="C58" i="6"/>
  <c r="C63" i="6"/>
  <c r="C68" i="6" s="1"/>
  <c r="C41" i="6" s="1"/>
  <c r="C73" i="6"/>
  <c r="H41" i="6" s="1"/>
  <c r="C75" i="6"/>
  <c r="J41" i="6" s="1"/>
  <c r="C76" i="6"/>
  <c r="K41" i="6" s="1"/>
  <c r="C81" i="6"/>
  <c r="C42" i="6" s="1"/>
  <c r="C82" i="6"/>
  <c r="C83" i="6"/>
  <c r="E42" i="6" s="1"/>
  <c r="C84" i="6"/>
  <c r="C86" i="6"/>
  <c r="C87" i="6"/>
  <c r="H42" i="6" s="1"/>
  <c r="C88" i="6"/>
  <c r="I42" i="6" s="1"/>
  <c r="D11" i="12"/>
  <c r="H11" i="12"/>
  <c r="B15" i="12"/>
  <c r="C15" i="12"/>
  <c r="D15" i="12"/>
  <c r="B16" i="12"/>
  <c r="C16" i="12"/>
  <c r="D16" i="12"/>
  <c r="B17" i="12"/>
  <c r="B18" i="12"/>
  <c r="D18" i="12"/>
  <c r="B20" i="12"/>
  <c r="B21" i="12"/>
  <c r="C21" i="12"/>
  <c r="D21" i="12"/>
  <c r="D23" i="12"/>
  <c r="D24" i="12"/>
  <c r="B25" i="12"/>
  <c r="D25" i="12"/>
  <c r="B26" i="12"/>
  <c r="B33" i="12"/>
  <c r="B34" i="12"/>
  <c r="B35" i="12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C32" i="11"/>
  <c r="D32" i="11"/>
  <c r="F32" i="11"/>
  <c r="I11" i="4"/>
  <c r="J11" i="4" s="1"/>
  <c r="K11" i="4" s="1"/>
  <c r="L11" i="4" s="1"/>
  <c r="M11" i="4" s="1"/>
  <c r="N11" i="4" s="1"/>
  <c r="G71" i="4"/>
  <c r="G75" i="4" s="1"/>
  <c r="G73" i="4"/>
  <c r="H73" i="4"/>
  <c r="I73" i="4" s="1"/>
  <c r="J73" i="4" s="1"/>
  <c r="K73" i="4" s="1"/>
  <c r="L73" i="4" s="1"/>
  <c r="M73" i="4" s="1"/>
  <c r="N73" i="4" s="1"/>
  <c r="E75" i="4"/>
  <c r="F75" i="4"/>
  <c r="S4" i="15"/>
  <c r="S5" i="15"/>
  <c r="I6" i="15"/>
  <c r="J6" i="15"/>
  <c r="K6" i="15"/>
  <c r="L6" i="15"/>
  <c r="M6" i="15"/>
  <c r="G22" i="15" s="1"/>
  <c r="N6" i="15"/>
  <c r="H22" i="15" s="1"/>
  <c r="O6" i="15"/>
  <c r="P6" i="15"/>
  <c r="Q6" i="15"/>
  <c r="R6" i="15"/>
  <c r="T6" i="15"/>
  <c r="S7" i="15"/>
  <c r="T7" i="15"/>
  <c r="N10" i="15"/>
  <c r="O10" i="15"/>
  <c r="P10" i="15"/>
  <c r="Q10" i="15"/>
  <c r="R10" i="15"/>
  <c r="N12" i="15"/>
  <c r="O12" i="15"/>
  <c r="P12" i="15"/>
  <c r="Q12" i="15"/>
  <c r="R12" i="15"/>
  <c r="R13" i="15" s="1"/>
  <c r="N13" i="15"/>
  <c r="S13" i="15" s="1"/>
  <c r="O13" i="15"/>
  <c r="P13" i="15"/>
  <c r="Q13" i="15"/>
  <c r="B16" i="15"/>
  <c r="D18" i="15"/>
  <c r="E18" i="15"/>
  <c r="I18" i="15"/>
  <c r="K18" i="15"/>
  <c r="H20" i="15"/>
  <c r="I20" i="15"/>
  <c r="J20" i="15"/>
  <c r="K20" i="15"/>
  <c r="L20" i="15"/>
  <c r="C22" i="15"/>
  <c r="D22" i="15"/>
  <c r="E22" i="15"/>
  <c r="F22" i="15"/>
  <c r="I22" i="15"/>
  <c r="J22" i="15"/>
  <c r="J25" i="15" s="1"/>
  <c r="K22" i="15"/>
  <c r="L22" i="15"/>
  <c r="L25" i="15" s="1"/>
  <c r="C24" i="15"/>
  <c r="D24" i="15"/>
  <c r="E24" i="15"/>
  <c r="F24" i="15"/>
  <c r="M24" i="15" s="1"/>
  <c r="G24" i="15"/>
  <c r="H24" i="15"/>
  <c r="I24" i="15"/>
  <c r="J24" i="15"/>
  <c r="K24" i="15"/>
  <c r="L24" i="15"/>
  <c r="C25" i="15"/>
  <c r="I25" i="15"/>
  <c r="I31" i="15" s="1"/>
  <c r="K25" i="15"/>
  <c r="F26" i="15"/>
  <c r="F28" i="15" s="1"/>
  <c r="H26" i="15"/>
  <c r="H28" i="15" s="1"/>
  <c r="I26" i="15"/>
  <c r="I28" i="15" s="1"/>
  <c r="M27" i="15"/>
  <c r="I34" i="15"/>
  <c r="J34" i="15"/>
  <c r="K34" i="15" s="1"/>
  <c r="L34" i="15"/>
  <c r="M34" i="15"/>
  <c r="I35" i="15"/>
  <c r="J35" i="15" s="1"/>
  <c r="K35" i="15" s="1"/>
  <c r="L35" i="15" s="1"/>
  <c r="M35" i="15"/>
  <c r="I36" i="15"/>
  <c r="J36" i="15" s="1"/>
  <c r="K36" i="15" s="1"/>
  <c r="L36" i="15" s="1"/>
  <c r="I37" i="15"/>
  <c r="J37" i="15"/>
  <c r="K37" i="15"/>
  <c r="L37" i="15"/>
  <c r="M37" i="15"/>
  <c r="M38" i="15"/>
  <c r="M39" i="15"/>
  <c r="I40" i="15"/>
  <c r="J40" i="15" s="1"/>
  <c r="K40" i="15" s="1"/>
  <c r="L40" i="15"/>
  <c r="M40" i="15"/>
  <c r="M41" i="15"/>
  <c r="M42" i="15"/>
  <c r="F43" i="15"/>
  <c r="G43" i="15"/>
  <c r="H43" i="15"/>
  <c r="H44" i="15" s="1"/>
  <c r="I43" i="15"/>
  <c r="J43" i="15"/>
  <c r="F44" i="15"/>
  <c r="G44" i="15"/>
  <c r="B46" i="15"/>
  <c r="G46" i="15" s="1"/>
  <c r="F46" i="15"/>
  <c r="H46" i="15"/>
  <c r="J46" i="15"/>
  <c r="B47" i="15"/>
  <c r="C47" i="15"/>
  <c r="F47" i="15"/>
  <c r="I47" i="15"/>
  <c r="J47" i="15"/>
  <c r="K47" i="15"/>
  <c r="B48" i="15"/>
  <c r="B49" i="15"/>
  <c r="C49" i="15"/>
  <c r="F49" i="15"/>
  <c r="I49" i="15"/>
  <c r="K49" i="15"/>
  <c r="L49" i="15"/>
  <c r="C50" i="15"/>
  <c r="F50" i="15"/>
  <c r="G50" i="15"/>
  <c r="H50" i="15"/>
  <c r="I50" i="15"/>
  <c r="K50" i="15"/>
  <c r="C51" i="15"/>
  <c r="F51" i="15"/>
  <c r="G51" i="15"/>
  <c r="H51" i="15"/>
  <c r="I51" i="15"/>
  <c r="K51" i="15"/>
  <c r="L51" i="15"/>
  <c r="C52" i="15"/>
  <c r="D52" i="15"/>
  <c r="E52" i="15"/>
  <c r="H52" i="15"/>
  <c r="I52" i="15"/>
  <c r="J52" i="15"/>
  <c r="K52" i="15"/>
  <c r="L52" i="15"/>
  <c r="F14" i="1"/>
  <c r="C20" i="1"/>
  <c r="C22" i="1"/>
  <c r="C9" i="9"/>
  <c r="D18" i="9" s="1"/>
  <c r="C10" i="9"/>
  <c r="C12" i="9"/>
  <c r="C28" i="9"/>
  <c r="E3" i="2"/>
  <c r="H4" i="2"/>
  <c r="C10" i="5"/>
  <c r="C13" i="5" s="1"/>
  <c r="C17" i="5"/>
  <c r="C18" i="5"/>
  <c r="D18" i="5"/>
  <c r="E18" i="5"/>
  <c r="F18" i="5"/>
  <c r="C29" i="5"/>
  <c r="D29" i="5"/>
  <c r="E29" i="5"/>
  <c r="F29" i="5"/>
  <c r="G29" i="5"/>
  <c r="H29" i="5"/>
  <c r="I29" i="5"/>
  <c r="J29" i="5"/>
  <c r="K29" i="5"/>
  <c r="L29" i="5"/>
  <c r="M29" i="5"/>
  <c r="E13" i="8"/>
  <c r="F13" i="8" s="1"/>
  <c r="F17" i="8" s="1"/>
  <c r="H13" i="8"/>
  <c r="E14" i="8"/>
  <c r="F14" i="8"/>
  <c r="H14" i="8"/>
  <c r="H17" i="8" s="1"/>
  <c r="I14" i="8"/>
  <c r="D11" i="4" s="1"/>
  <c r="E11" i="4" s="1"/>
  <c r="F11" i="4" s="1"/>
  <c r="G11" i="4" s="1"/>
  <c r="H11" i="4" s="1"/>
  <c r="E15" i="8"/>
  <c r="F15" i="8" s="1"/>
  <c r="H15" i="8"/>
  <c r="D17" i="8"/>
  <c r="E17" i="8"/>
  <c r="G21" i="8"/>
  <c r="E21" i="8" s="1"/>
  <c r="H21" i="8"/>
  <c r="G22" i="8"/>
  <c r="E22" i="8" s="1"/>
  <c r="H22" i="8"/>
  <c r="L22" i="8"/>
  <c r="E23" i="8"/>
  <c r="F23" i="8"/>
  <c r="G23" i="8"/>
  <c r="H23" i="8"/>
  <c r="L23" i="8"/>
  <c r="I23" i="8" s="1"/>
  <c r="O23" i="8"/>
  <c r="E24" i="8"/>
  <c r="F24" i="8"/>
  <c r="G24" i="8"/>
  <c r="H24" i="8"/>
  <c r="L24" i="8"/>
  <c r="I24" i="8" s="1"/>
  <c r="O24" i="8"/>
  <c r="E25" i="8"/>
  <c r="F25" i="8" s="1"/>
  <c r="G25" i="8"/>
  <c r="H25" i="8"/>
  <c r="E26" i="8"/>
  <c r="F26" i="8" s="1"/>
  <c r="G26" i="8"/>
  <c r="H26" i="8"/>
  <c r="E27" i="8"/>
  <c r="F27" i="8" s="1"/>
  <c r="G27" i="8"/>
  <c r="H27" i="8"/>
  <c r="E28" i="8"/>
  <c r="F28" i="8" s="1"/>
  <c r="G28" i="8"/>
  <c r="H28" i="8"/>
  <c r="D29" i="8"/>
  <c r="E32" i="8"/>
  <c r="I32" i="8" s="1"/>
  <c r="F32" i="8"/>
  <c r="E33" i="8"/>
  <c r="F33" i="8" s="1"/>
  <c r="J33" i="8" s="1"/>
  <c r="E34" i="8"/>
  <c r="I34" i="8" s="1"/>
  <c r="F34" i="8"/>
  <c r="D35" i="8"/>
  <c r="E39" i="8"/>
  <c r="F39" i="8" s="1"/>
  <c r="E40" i="8"/>
  <c r="F40" i="8" s="1"/>
  <c r="J40" i="8" s="1"/>
  <c r="I40" i="8"/>
  <c r="E41" i="8"/>
  <c r="F41" i="8" s="1"/>
  <c r="E42" i="8"/>
  <c r="F42" i="8" s="1"/>
  <c r="J42" i="8" s="1"/>
  <c r="I42" i="8"/>
  <c r="E43" i="8"/>
  <c r="F43" i="8" s="1"/>
  <c r="E44" i="8"/>
  <c r="F44" i="8" s="1"/>
  <c r="J44" i="8" s="1"/>
  <c r="I44" i="8"/>
  <c r="D45" i="8"/>
  <c r="D4" i="7"/>
  <c r="E13" i="7"/>
  <c r="E20" i="7" s="1"/>
  <c r="F13" i="7"/>
  <c r="G13" i="7"/>
  <c r="H13" i="7"/>
  <c r="I13" i="7"/>
  <c r="J13" i="7"/>
  <c r="K13" i="7"/>
  <c r="L13" i="7"/>
  <c r="L20" i="7" s="1"/>
  <c r="M13" i="7"/>
  <c r="M20" i="7" s="1"/>
  <c r="N13" i="7"/>
  <c r="D14" i="7"/>
  <c r="C19" i="7"/>
  <c r="F20" i="7"/>
  <c r="G20" i="7"/>
  <c r="H20" i="7"/>
  <c r="I20" i="7"/>
  <c r="J20" i="7"/>
  <c r="K20" i="7"/>
  <c r="N20" i="7"/>
  <c r="C23" i="7"/>
  <c r="B55" i="7"/>
  <c r="B62" i="7"/>
  <c r="I7" i="10"/>
  <c r="I8" i="10" s="1"/>
  <c r="I11" i="10" s="1"/>
  <c r="I9" i="10"/>
  <c r="C10" i="10"/>
  <c r="C12" i="10" s="1"/>
  <c r="F7" i="10" s="1"/>
  <c r="F9" i="10" s="1"/>
  <c r="C11" i="10"/>
  <c r="F12" i="10"/>
  <c r="F17" i="10"/>
  <c r="F19" i="10"/>
  <c r="C20" i="10"/>
  <c r="E48" i="4" s="1"/>
  <c r="F35" i="8" l="1"/>
  <c r="D23" i="4" s="1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I12" i="10"/>
  <c r="C18" i="10"/>
  <c r="E46" i="4" s="1"/>
  <c r="F45" i="8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C24" i="10"/>
  <c r="E49" i="4" s="1"/>
  <c r="O28" i="8"/>
  <c r="O27" i="8"/>
  <c r="O26" i="8"/>
  <c r="O25" i="8"/>
  <c r="F21" i="8"/>
  <c r="L18" i="9"/>
  <c r="J31" i="15"/>
  <c r="I33" i="8"/>
  <c r="I35" i="8" s="1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L28" i="8"/>
  <c r="L27" i="8"/>
  <c r="L26" i="8"/>
  <c r="I26" i="8" s="1"/>
  <c r="L25" i="8"/>
  <c r="I25" i="8" s="1"/>
  <c r="P25" i="8" s="1"/>
  <c r="E18" i="9"/>
  <c r="P26" i="8"/>
  <c r="E35" i="8"/>
  <c r="D22" i="4" s="1"/>
  <c r="F22" i="8"/>
  <c r="D40" i="6"/>
  <c r="L40" i="6"/>
  <c r="E40" i="6"/>
  <c r="F40" i="6"/>
  <c r="G40" i="6"/>
  <c r="I40" i="6"/>
  <c r="I45" i="6" s="1"/>
  <c r="J40" i="6"/>
  <c r="J45" i="6" s="1"/>
  <c r="K40" i="6"/>
  <c r="K45" i="6" s="1"/>
  <c r="C40" i="6"/>
  <c r="J43" i="8"/>
  <c r="J41" i="8"/>
  <c r="J39" i="8"/>
  <c r="J45" i="8" s="1"/>
  <c r="O21" i="8"/>
  <c r="E50" i="15"/>
  <c r="E26" i="15"/>
  <c r="E28" i="15" s="1"/>
  <c r="E43" i="15"/>
  <c r="E44" i="15" s="1"/>
  <c r="E25" i="15"/>
  <c r="E31" i="15" s="1"/>
  <c r="E47" i="15"/>
  <c r="E49" i="15"/>
  <c r="E51" i="15"/>
  <c r="I43" i="8"/>
  <c r="I41" i="8"/>
  <c r="I39" i="8"/>
  <c r="I45" i="8" s="1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J34" i="8"/>
  <c r="J32" i="8"/>
  <c r="J35" i="8" s="1"/>
  <c r="P23" i="8"/>
  <c r="L21" i="8"/>
  <c r="D50" i="15"/>
  <c r="M50" i="15" s="1"/>
  <c r="D26" i="15"/>
  <c r="D28" i="15" s="1"/>
  <c r="D43" i="15"/>
  <c r="D44" i="15" s="1"/>
  <c r="D25" i="15"/>
  <c r="D31" i="15" s="1"/>
  <c r="D47" i="15"/>
  <c r="M47" i="15" s="1"/>
  <c r="D49" i="15"/>
  <c r="M49" i="15" s="1"/>
  <c r="D51" i="15"/>
  <c r="M22" i="15"/>
  <c r="F18" i="9"/>
  <c r="G18" i="9"/>
  <c r="H18" i="9"/>
  <c r="I18" i="9"/>
  <c r="J18" i="9"/>
  <c r="C18" i="9"/>
  <c r="K18" i="9"/>
  <c r="F48" i="4"/>
  <c r="E45" i="8"/>
  <c r="D26" i="4" s="1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E29" i="8"/>
  <c r="D16" i="4" s="1"/>
  <c r="P24" i="8"/>
  <c r="O22" i="8"/>
  <c r="I22" i="8" s="1"/>
  <c r="P22" i="8" s="1"/>
  <c r="I46" i="15"/>
  <c r="C26" i="15"/>
  <c r="C43" i="15"/>
  <c r="C18" i="15"/>
  <c r="H49" i="15"/>
  <c r="H18" i="15"/>
  <c r="H19" i="15" s="1"/>
  <c r="H25" i="15"/>
  <c r="H31" i="15" s="1"/>
  <c r="G32" i="11"/>
  <c r="J44" i="15"/>
  <c r="L50" i="15"/>
  <c r="L26" i="15"/>
  <c r="L28" i="15" s="1"/>
  <c r="L31" i="15" s="1"/>
  <c r="L43" i="15"/>
  <c r="L44" i="15" s="1"/>
  <c r="L21" i="15"/>
  <c r="G49" i="15"/>
  <c r="G18" i="15"/>
  <c r="G25" i="15"/>
  <c r="G52" i="15"/>
  <c r="D20" i="12"/>
  <c r="D17" i="12"/>
  <c r="C92" i="6"/>
  <c r="C43" i="6" s="1"/>
  <c r="C93" i="6"/>
  <c r="D43" i="6" s="1"/>
  <c r="C94" i="6"/>
  <c r="E43" i="6" s="1"/>
  <c r="C96" i="6"/>
  <c r="G43" i="6" s="1"/>
  <c r="C95" i="6"/>
  <c r="F43" i="6" s="1"/>
  <c r="I15" i="8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I13" i="8"/>
  <c r="I44" i="15"/>
  <c r="J26" i="15"/>
  <c r="J28" i="15" s="1"/>
  <c r="K26" i="15"/>
  <c r="K28" i="15" s="1"/>
  <c r="K31" i="15" s="1"/>
  <c r="K43" i="15"/>
  <c r="K44" i="15" s="1"/>
  <c r="L18" i="15"/>
  <c r="E16" i="12"/>
  <c r="D21" i="15" s="1"/>
  <c r="C20" i="12"/>
  <c r="C17" i="12"/>
  <c r="E17" i="12" s="1"/>
  <c r="C18" i="12"/>
  <c r="C97" i="6"/>
  <c r="H43" i="6" s="1"/>
  <c r="H45" i="6" s="1"/>
  <c r="M36" i="15"/>
  <c r="N40" i="15" s="1"/>
  <c r="J51" i="15"/>
  <c r="M20" i="15"/>
  <c r="K19" i="15"/>
  <c r="J50" i="15"/>
  <c r="C46" i="15"/>
  <c r="K46" i="15"/>
  <c r="D46" i="15"/>
  <c r="L46" i="15"/>
  <c r="E46" i="15"/>
  <c r="G21" i="15"/>
  <c r="J18" i="15"/>
  <c r="J19" i="15" s="1"/>
  <c r="S6" i="15"/>
  <c r="B10" i="15" s="1"/>
  <c r="B22" i="12"/>
  <c r="E21" i="12"/>
  <c r="J49" i="15"/>
  <c r="L47" i="15"/>
  <c r="G47" i="15"/>
  <c r="H47" i="15"/>
  <c r="G26" i="15"/>
  <c r="G28" i="15" s="1"/>
  <c r="F18" i="15"/>
  <c r="F19" i="15" s="1"/>
  <c r="F25" i="15"/>
  <c r="F31" i="15" s="1"/>
  <c r="F52" i="15"/>
  <c r="M52" i="15" s="1"/>
  <c r="F21" i="15"/>
  <c r="B27" i="12"/>
  <c r="B28" i="12" s="1"/>
  <c r="E20" i="12"/>
  <c r="H71" i="4"/>
  <c r="C69" i="6"/>
  <c r="D41" i="6" s="1"/>
  <c r="C77" i="6"/>
  <c r="L41" i="6" s="1"/>
  <c r="C70" i="6"/>
  <c r="E41" i="6" s="1"/>
  <c r="C71" i="6"/>
  <c r="F41" i="6" s="1"/>
  <c r="C72" i="6"/>
  <c r="G41" i="6" s="1"/>
  <c r="C74" i="6"/>
  <c r="I41" i="6" s="1"/>
  <c r="D33" i="6"/>
  <c r="J61" i="4" l="1"/>
  <c r="I31" i="5"/>
  <c r="H53" i="15"/>
  <c r="H55" i="15" s="1"/>
  <c r="D29" i="4"/>
  <c r="E22" i="4"/>
  <c r="K61" i="4"/>
  <c r="J31" i="5"/>
  <c r="M25" i="15"/>
  <c r="M51" i="15"/>
  <c r="I21" i="8"/>
  <c r="L29" i="8"/>
  <c r="O29" i="8"/>
  <c r="M61" i="4"/>
  <c r="L31" i="5"/>
  <c r="E19" i="15"/>
  <c r="E55" i="4"/>
  <c r="D35" i="6"/>
  <c r="E57" i="4"/>
  <c r="I71" i="4"/>
  <c r="H75" i="4"/>
  <c r="G18" i="5" s="1"/>
  <c r="C19" i="15"/>
  <c r="M18" i="15"/>
  <c r="G45" i="6"/>
  <c r="L61" i="4"/>
  <c r="K31" i="5"/>
  <c r="F55" i="15"/>
  <c r="F46" i="4"/>
  <c r="I17" i="8"/>
  <c r="D10" i="4"/>
  <c r="C21" i="15"/>
  <c r="M21" i="15" s="1"/>
  <c r="E16" i="4"/>
  <c r="F45" i="6"/>
  <c r="I27" i="8"/>
  <c r="P27" i="8" s="1"/>
  <c r="F49" i="4"/>
  <c r="I19" i="15"/>
  <c r="H21" i="15"/>
  <c r="I21" i="15"/>
  <c r="E21" i="15"/>
  <c r="M43" i="15"/>
  <c r="C44" i="15"/>
  <c r="M44" i="15" s="1"/>
  <c r="N44" i="15" s="1"/>
  <c r="E45" i="6"/>
  <c r="D19" i="15"/>
  <c r="I28" i="8"/>
  <c r="P28" i="8" s="1"/>
  <c r="F29" i="8"/>
  <c r="D17" i="4" s="1"/>
  <c r="E17" i="4" s="1"/>
  <c r="F17" i="4" s="1"/>
  <c r="G17" i="4" s="1"/>
  <c r="H17" i="4" s="1"/>
  <c r="I17" i="4" s="1"/>
  <c r="J17" i="4" s="1"/>
  <c r="K17" i="4" s="1"/>
  <c r="L17" i="4" s="1"/>
  <c r="M17" i="4" s="1"/>
  <c r="N17" i="4" s="1"/>
  <c r="M46" i="15"/>
  <c r="B29" i="12"/>
  <c r="B30" i="12" s="1"/>
  <c r="D29" i="12"/>
  <c r="D30" i="12" s="1"/>
  <c r="C29" i="12"/>
  <c r="C30" i="12" s="1"/>
  <c r="E53" i="15"/>
  <c r="E55" i="15" s="1"/>
  <c r="L19" i="15"/>
  <c r="G31" i="15"/>
  <c r="M26" i="15"/>
  <c r="C28" i="15"/>
  <c r="L45" i="6"/>
  <c r="D23" i="15"/>
  <c r="D48" i="15" s="1"/>
  <c r="D53" i="15" s="1"/>
  <c r="D55" i="15" s="1"/>
  <c r="L23" i="15"/>
  <c r="L48" i="15" s="1"/>
  <c r="L53" i="15" s="1"/>
  <c r="L55" i="15" s="1"/>
  <c r="E23" i="15"/>
  <c r="E48" i="15" s="1"/>
  <c r="F23" i="15"/>
  <c r="F48" i="15" s="1"/>
  <c r="F53" i="15" s="1"/>
  <c r="H23" i="15"/>
  <c r="H48" i="15" s="1"/>
  <c r="I23" i="15"/>
  <c r="I48" i="15" s="1"/>
  <c r="J23" i="15"/>
  <c r="J48" i="15" s="1"/>
  <c r="J53" i="15" s="1"/>
  <c r="J55" i="15" s="1"/>
  <c r="K23" i="15"/>
  <c r="K48" i="15" s="1"/>
  <c r="K53" i="15" s="1"/>
  <c r="K55" i="15" s="1"/>
  <c r="C23" i="15"/>
  <c r="G23" i="15"/>
  <c r="G48" i="15" s="1"/>
  <c r="G53" i="15" s="1"/>
  <c r="J21" i="15"/>
  <c r="K21" i="15"/>
  <c r="G19" i="15"/>
  <c r="I53" i="15"/>
  <c r="I55" i="15" s="1"/>
  <c r="G48" i="4"/>
  <c r="C45" i="6"/>
  <c r="D45" i="6"/>
  <c r="K60" i="15" l="1"/>
  <c r="L60" i="15"/>
  <c r="J60" i="15"/>
  <c r="H60" i="15"/>
  <c r="I60" i="15"/>
  <c r="D60" i="15"/>
  <c r="E60" i="15"/>
  <c r="I29" i="8"/>
  <c r="D18" i="4" s="1"/>
  <c r="P21" i="8"/>
  <c r="P29" i="8" s="1"/>
  <c r="G61" i="4"/>
  <c r="F31" i="5"/>
  <c r="G49" i="4"/>
  <c r="F22" i="4"/>
  <c r="E29" i="4"/>
  <c r="C48" i="15"/>
  <c r="M23" i="15"/>
  <c r="F16" i="4"/>
  <c r="B31" i="12"/>
  <c r="H10" i="12" s="1"/>
  <c r="M28" i="15"/>
  <c r="C31" i="15"/>
  <c r="D13" i="4"/>
  <c r="E10" i="4"/>
  <c r="N61" i="4"/>
  <c r="M31" i="5"/>
  <c r="F60" i="15"/>
  <c r="M19" i="15"/>
  <c r="J6" i="8"/>
  <c r="E59" i="4"/>
  <c r="C7" i="1"/>
  <c r="C8" i="9"/>
  <c r="C11" i="9" s="1"/>
  <c r="H48" i="4"/>
  <c r="I61" i="4"/>
  <c r="H31" i="5"/>
  <c r="J71" i="4"/>
  <c r="I75" i="4"/>
  <c r="H18" i="5" s="1"/>
  <c r="E61" i="4"/>
  <c r="D31" i="5"/>
  <c r="F55" i="4"/>
  <c r="G55" i="15"/>
  <c r="F61" i="4"/>
  <c r="E31" i="5"/>
  <c r="H61" i="4"/>
  <c r="G31" i="5"/>
  <c r="G46" i="4"/>
  <c r="F57" i="4"/>
  <c r="H46" i="4" l="1"/>
  <c r="F10" i="4"/>
  <c r="E13" i="4"/>
  <c r="M48" i="15"/>
  <c r="C53" i="15"/>
  <c r="M53" i="15" s="1"/>
  <c r="M31" i="15"/>
  <c r="C55" i="15"/>
  <c r="C17" i="9"/>
  <c r="D21" i="9"/>
  <c r="E21" i="9"/>
  <c r="G21" i="9"/>
  <c r="J21" i="9"/>
  <c r="L21" i="9"/>
  <c r="F21" i="9"/>
  <c r="C21" i="9"/>
  <c r="H21" i="9"/>
  <c r="K21" i="9"/>
  <c r="I21" i="9"/>
  <c r="G22" i="12"/>
  <c r="B23" i="12"/>
  <c r="I16" i="10" s="1"/>
  <c r="B9" i="15"/>
  <c r="B24" i="12"/>
  <c r="F5" i="2"/>
  <c r="N5" i="2"/>
  <c r="G5" i="2"/>
  <c r="D34" i="13" s="1"/>
  <c r="H5" i="2"/>
  <c r="I5" i="2"/>
  <c r="J5" i="2"/>
  <c r="F3" i="2"/>
  <c r="K5" i="2"/>
  <c r="M5" i="2"/>
  <c r="I17" i="10"/>
  <c r="B46" i="7"/>
  <c r="C13" i="10"/>
  <c r="F18" i="10"/>
  <c r="C21" i="10" s="1"/>
  <c r="E5" i="2"/>
  <c r="B41" i="13" s="1"/>
  <c r="L5" i="2"/>
  <c r="F20" i="10"/>
  <c r="C25" i="10" s="1"/>
  <c r="I13" i="10"/>
  <c r="C19" i="10" s="1"/>
  <c r="C7" i="10"/>
  <c r="F10" i="10" s="1"/>
  <c r="F11" i="10" s="1"/>
  <c r="H49" i="4"/>
  <c r="D37" i="13"/>
  <c r="C39" i="13"/>
  <c r="G55" i="4"/>
  <c r="F59" i="4"/>
  <c r="K42" i="13"/>
  <c r="G16" i="4"/>
  <c r="E18" i="4"/>
  <c r="D19" i="4"/>
  <c r="B4" i="15"/>
  <c r="C8" i="1"/>
  <c r="B5" i="15" s="1"/>
  <c r="D19" i="7"/>
  <c r="C42" i="13"/>
  <c r="K71" i="4"/>
  <c r="J75" i="4"/>
  <c r="I18" i="5" s="1"/>
  <c r="C27" i="13"/>
  <c r="I48" i="4"/>
  <c r="E36" i="13"/>
  <c r="G22" i="4"/>
  <c r="F29" i="4"/>
  <c r="D27" i="13" s="1"/>
  <c r="C40" i="13"/>
  <c r="G57" i="4"/>
  <c r="G60" i="15"/>
  <c r="D42" i="13"/>
  <c r="I37" i="4" l="1"/>
  <c r="I42" i="4"/>
  <c r="I8" i="2"/>
  <c r="I6" i="2"/>
  <c r="I10" i="2" s="1"/>
  <c r="I11" i="2"/>
  <c r="F9" i="13" s="1"/>
  <c r="I15" i="2"/>
  <c r="F14" i="13" s="1"/>
  <c r="I16" i="2"/>
  <c r="F15" i="13" s="1"/>
  <c r="I12" i="2"/>
  <c r="F10" i="13" s="1"/>
  <c r="I7" i="2"/>
  <c r="H57" i="4"/>
  <c r="D40" i="13"/>
  <c r="L71" i="4"/>
  <c r="K75" i="4"/>
  <c r="J18" i="5" s="1"/>
  <c r="F14" i="10"/>
  <c r="C23" i="10" s="1"/>
  <c r="F13" i="10"/>
  <c r="C22" i="10" s="1"/>
  <c r="E47" i="4" s="1"/>
  <c r="N37" i="4"/>
  <c r="N42" i="4"/>
  <c r="N6" i="2"/>
  <c r="N10" i="2" s="1"/>
  <c r="N11" i="2"/>
  <c r="K9" i="13" s="1"/>
  <c r="N15" i="2"/>
  <c r="K14" i="13" s="1"/>
  <c r="N7" i="2"/>
  <c r="N12" i="2"/>
  <c r="K10" i="13" s="1"/>
  <c r="N16" i="2"/>
  <c r="K15" i="13" s="1"/>
  <c r="N8" i="2"/>
  <c r="F36" i="13"/>
  <c r="J48" i="4"/>
  <c r="B42" i="13"/>
  <c r="D21" i="7"/>
  <c r="D24" i="7" s="1"/>
  <c r="D16" i="7"/>
  <c r="D23" i="7"/>
  <c r="M37" i="4"/>
  <c r="M42" i="4"/>
  <c r="M6" i="2"/>
  <c r="M10" i="2" s="1"/>
  <c r="M11" i="2"/>
  <c r="J9" i="13" s="1"/>
  <c r="M15" i="2"/>
  <c r="J14" i="13" s="1"/>
  <c r="M7" i="2"/>
  <c r="M12" i="2"/>
  <c r="J10" i="13" s="1"/>
  <c r="M16" i="2"/>
  <c r="J15" i="13" s="1"/>
  <c r="M8" i="2"/>
  <c r="J42" i="13"/>
  <c r="F37" i="4"/>
  <c r="F42" i="4"/>
  <c r="F6" i="2"/>
  <c r="F10" i="2" s="1"/>
  <c r="F11" i="2"/>
  <c r="C9" i="13" s="1"/>
  <c r="F15" i="2"/>
  <c r="C14" i="13" s="1"/>
  <c r="F7" i="2"/>
  <c r="F12" i="2"/>
  <c r="C10" i="13" s="1"/>
  <c r="F16" i="2"/>
  <c r="C15" i="13" s="1"/>
  <c r="F8" i="2"/>
  <c r="C36" i="13"/>
  <c r="C34" i="13"/>
  <c r="C37" i="13"/>
  <c r="C25" i="13"/>
  <c r="E37" i="4"/>
  <c r="E42" i="4"/>
  <c r="E6" i="2"/>
  <c r="E10" i="2" s="1"/>
  <c r="E11" i="2"/>
  <c r="B9" i="13" s="1"/>
  <c r="E15" i="2"/>
  <c r="B14" i="13" s="1"/>
  <c r="E7" i="2"/>
  <c r="E12" i="2"/>
  <c r="B10" i="13" s="1"/>
  <c r="E16" i="2"/>
  <c r="B15" i="13" s="1"/>
  <c r="E8" i="2"/>
  <c r="B36" i="13"/>
  <c r="B34" i="13"/>
  <c r="B37" i="13"/>
  <c r="B40" i="13"/>
  <c r="B27" i="13"/>
  <c r="B39" i="13"/>
  <c r="B6" i="15"/>
  <c r="B15" i="15" s="1"/>
  <c r="B17" i="15" s="1"/>
  <c r="G59" i="4"/>
  <c r="C41" i="13"/>
  <c r="K37" i="4"/>
  <c r="K7" i="2"/>
  <c r="K12" i="2"/>
  <c r="H10" i="13" s="1"/>
  <c r="K16" i="2"/>
  <c r="H15" i="13" s="1"/>
  <c r="K8" i="2"/>
  <c r="K42" i="4"/>
  <c r="K6" i="2"/>
  <c r="K10" i="2" s="1"/>
  <c r="K15" i="2"/>
  <c r="H14" i="13" s="1"/>
  <c r="K11" i="2"/>
  <c r="H9" i="13" s="1"/>
  <c r="H42" i="13"/>
  <c r="C19" i="9"/>
  <c r="G10" i="4"/>
  <c r="F13" i="4"/>
  <c r="F18" i="4"/>
  <c r="E19" i="4"/>
  <c r="H22" i="4"/>
  <c r="G29" i="4"/>
  <c r="E27" i="13" s="1"/>
  <c r="D31" i="4"/>
  <c r="B26" i="13"/>
  <c r="H55" i="4"/>
  <c r="D39" i="13"/>
  <c r="L37" i="4"/>
  <c r="L42" i="4"/>
  <c r="L6" i="2"/>
  <c r="L10" i="2" s="1"/>
  <c r="L11" i="2"/>
  <c r="I9" i="13" s="1"/>
  <c r="L15" i="2"/>
  <c r="I14" i="13" s="1"/>
  <c r="L7" i="2"/>
  <c r="L12" i="2"/>
  <c r="I10" i="13" s="1"/>
  <c r="L16" i="2"/>
  <c r="I15" i="13" s="1"/>
  <c r="L8" i="2"/>
  <c r="I42" i="13"/>
  <c r="M55" i="15"/>
  <c r="C60" i="15"/>
  <c r="M60" i="15" s="1"/>
  <c r="F42" i="13"/>
  <c r="B25" i="13"/>
  <c r="J42" i="4"/>
  <c r="J7" i="2"/>
  <c r="J12" i="2"/>
  <c r="G10" i="13" s="1"/>
  <c r="J16" i="2"/>
  <c r="G15" i="13" s="1"/>
  <c r="J8" i="2"/>
  <c r="J37" i="4"/>
  <c r="J6" i="2"/>
  <c r="J10" i="2" s="1"/>
  <c r="J11" i="2"/>
  <c r="G9" i="13" s="1"/>
  <c r="J15" i="2"/>
  <c r="G14" i="13" s="1"/>
  <c r="G42" i="13"/>
  <c r="H16" i="4"/>
  <c r="H37" i="4"/>
  <c r="H8" i="2"/>
  <c r="H42" i="4"/>
  <c r="H6" i="2"/>
  <c r="H10" i="2" s="1"/>
  <c r="H11" i="2"/>
  <c r="E9" i="13" s="1"/>
  <c r="H15" i="2"/>
  <c r="E14" i="13" s="1"/>
  <c r="H7" i="2"/>
  <c r="H16" i="2"/>
  <c r="E15" i="13" s="1"/>
  <c r="H12" i="2"/>
  <c r="E10" i="13" s="1"/>
  <c r="I49" i="4"/>
  <c r="E37" i="13"/>
  <c r="G37" i="4"/>
  <c r="G42" i="4"/>
  <c r="G6" i="2"/>
  <c r="G10" i="2" s="1"/>
  <c r="G11" i="2"/>
  <c r="D9" i="13" s="1"/>
  <c r="G15" i="2"/>
  <c r="D14" i="13" s="1"/>
  <c r="G7" i="2"/>
  <c r="G12" i="2"/>
  <c r="D10" i="13" s="1"/>
  <c r="G16" i="2"/>
  <c r="D15" i="13" s="1"/>
  <c r="G8" i="2"/>
  <c r="D36" i="13"/>
  <c r="E42" i="13"/>
  <c r="I46" i="4"/>
  <c r="E34" i="13"/>
  <c r="J49" i="4" l="1"/>
  <c r="F37" i="13"/>
  <c r="E8" i="13"/>
  <c r="I22" i="4"/>
  <c r="H29" i="4"/>
  <c r="F27" i="13" s="1"/>
  <c r="K40" i="4"/>
  <c r="H20" i="13" s="1"/>
  <c r="K41" i="4"/>
  <c r="K14" i="2"/>
  <c r="H13" i="13" s="1"/>
  <c r="M40" i="4"/>
  <c r="J20" i="13" s="1"/>
  <c r="M41" i="4"/>
  <c r="M14" i="2"/>
  <c r="J13" i="13" s="1"/>
  <c r="F47" i="4"/>
  <c r="B35" i="13"/>
  <c r="E50" i="4"/>
  <c r="C26" i="13"/>
  <c r="E31" i="4"/>
  <c r="B8" i="13"/>
  <c r="G19" i="13"/>
  <c r="G18" i="4"/>
  <c r="F19" i="4"/>
  <c r="E19" i="13"/>
  <c r="J39" i="4"/>
  <c r="G12" i="13" s="1"/>
  <c r="J13" i="2"/>
  <c r="G11" i="13" s="1"/>
  <c r="D25" i="13"/>
  <c r="H8" i="13"/>
  <c r="H16" i="13" s="1"/>
  <c r="K17" i="2"/>
  <c r="H59" i="4"/>
  <c r="D41" i="13"/>
  <c r="E39" i="4"/>
  <c r="E13" i="2"/>
  <c r="B11" i="13" s="1"/>
  <c r="B19" i="13"/>
  <c r="F39" i="4"/>
  <c r="C12" i="13" s="1"/>
  <c r="F13" i="2"/>
  <c r="C11" i="13" s="1"/>
  <c r="C19" i="13"/>
  <c r="J8" i="13"/>
  <c r="K48" i="4"/>
  <c r="G36" i="13"/>
  <c r="L75" i="4"/>
  <c r="K18" i="5" s="1"/>
  <c r="M71" i="4"/>
  <c r="F8" i="13"/>
  <c r="G41" i="4"/>
  <c r="G40" i="4"/>
  <c r="D20" i="13" s="1"/>
  <c r="G14" i="2"/>
  <c r="D13" i="13" s="1"/>
  <c r="N41" i="4"/>
  <c r="N14" i="2"/>
  <c r="K13" i="13" s="1"/>
  <c r="N40" i="4"/>
  <c r="K20" i="13" s="1"/>
  <c r="D8" i="13"/>
  <c r="L41" i="4"/>
  <c r="L40" i="4"/>
  <c r="I20" i="13" s="1"/>
  <c r="L14" i="2"/>
  <c r="I13" i="13" s="1"/>
  <c r="I55" i="4"/>
  <c r="E39" i="13"/>
  <c r="H10" i="4"/>
  <c r="G13" i="4"/>
  <c r="I39" i="4"/>
  <c r="F12" i="13" s="1"/>
  <c r="I13" i="2"/>
  <c r="F11" i="13" s="1"/>
  <c r="J46" i="4"/>
  <c r="F34" i="13"/>
  <c r="L39" i="4"/>
  <c r="I12" i="13" s="1"/>
  <c r="L13" i="2"/>
  <c r="I11" i="13" s="1"/>
  <c r="H40" i="4"/>
  <c r="E20" i="13" s="1"/>
  <c r="H41" i="4"/>
  <c r="H14" i="2"/>
  <c r="E13" i="13" s="1"/>
  <c r="I16" i="4"/>
  <c r="K39" i="4"/>
  <c r="H12" i="13" s="1"/>
  <c r="K13" i="2"/>
  <c r="H11" i="13" s="1"/>
  <c r="M39" i="4"/>
  <c r="J12" i="13" s="1"/>
  <c r="M13" i="2"/>
  <c r="J11" i="13" s="1"/>
  <c r="M43" i="4"/>
  <c r="J19" i="13"/>
  <c r="J22" i="13" s="1"/>
  <c r="K8" i="13"/>
  <c r="N17" i="2"/>
  <c r="I57" i="4"/>
  <c r="E40" i="13"/>
  <c r="L43" i="4"/>
  <c r="I19" i="13"/>
  <c r="I22" i="13" s="1"/>
  <c r="C8" i="13"/>
  <c r="H39" i="4"/>
  <c r="E12" i="13" s="1"/>
  <c r="H13" i="2"/>
  <c r="E11" i="13" s="1"/>
  <c r="G39" i="4"/>
  <c r="D12" i="13" s="1"/>
  <c r="G13" i="2"/>
  <c r="D11" i="13" s="1"/>
  <c r="J40" i="4"/>
  <c r="G20" i="13" s="1"/>
  <c r="J41" i="4"/>
  <c r="J14" i="2"/>
  <c r="G13" i="13" s="1"/>
  <c r="B28" i="13"/>
  <c r="D33" i="4"/>
  <c r="I40" i="4"/>
  <c r="F20" i="13" s="1"/>
  <c r="I41" i="4"/>
  <c r="I14" i="2"/>
  <c r="F13" i="13" s="1"/>
  <c r="F19" i="13"/>
  <c r="F22" i="13" s="1"/>
  <c r="I43" i="4"/>
  <c r="G8" i="13"/>
  <c r="G16" i="13" s="1"/>
  <c r="J17" i="2"/>
  <c r="K43" i="4"/>
  <c r="H19" i="13"/>
  <c r="G43" i="4"/>
  <c r="D19" i="13"/>
  <c r="D22" i="13" s="1"/>
  <c r="E40" i="4"/>
  <c r="B20" i="13" s="1"/>
  <c r="E41" i="4"/>
  <c r="E14" i="2"/>
  <c r="B13" i="13" s="1"/>
  <c r="F41" i="4"/>
  <c r="F14" i="2"/>
  <c r="C13" i="13" s="1"/>
  <c r="F40" i="4"/>
  <c r="C20" i="13" s="1"/>
  <c r="C22" i="9"/>
  <c r="I8" i="13"/>
  <c r="I16" i="13" s="1"/>
  <c r="L17" i="2"/>
  <c r="N39" i="4"/>
  <c r="K12" i="13" s="1"/>
  <c r="N13" i="2"/>
  <c r="K11" i="13" s="1"/>
  <c r="K19" i="13"/>
  <c r="K22" i="13" s="1"/>
  <c r="K12" i="7" l="1"/>
  <c r="J10" i="5"/>
  <c r="J13" i="5" s="1"/>
  <c r="K16" i="13"/>
  <c r="F17" i="2"/>
  <c r="J16" i="4"/>
  <c r="B22" i="13"/>
  <c r="G22" i="13"/>
  <c r="G47" i="4"/>
  <c r="C35" i="13"/>
  <c r="F50" i="4"/>
  <c r="C38" i="13" s="1"/>
  <c r="I29" i="4"/>
  <c r="G27" i="13" s="1"/>
  <c r="J22" i="4"/>
  <c r="N71" i="4"/>
  <c r="N75" i="4" s="1"/>
  <c r="M18" i="5" s="1"/>
  <c r="M75" i="4"/>
  <c r="L18" i="5" s="1"/>
  <c r="L12" i="7"/>
  <c r="K10" i="5"/>
  <c r="K13" i="5" s="1"/>
  <c r="C16" i="13"/>
  <c r="L48" i="4"/>
  <c r="H36" i="13"/>
  <c r="E43" i="4"/>
  <c r="J43" i="4"/>
  <c r="H17" i="2"/>
  <c r="F31" i="4"/>
  <c r="D26" i="13"/>
  <c r="M17" i="2"/>
  <c r="E17" i="2"/>
  <c r="E16" i="13"/>
  <c r="F7" i="1"/>
  <c r="B38" i="13"/>
  <c r="F8" i="1" s="1"/>
  <c r="B29" i="13"/>
  <c r="D52" i="4"/>
  <c r="C16" i="5" s="1"/>
  <c r="C20" i="5" s="1"/>
  <c r="C22" i="5" s="1"/>
  <c r="J55" i="4"/>
  <c r="F39" i="13"/>
  <c r="H18" i="4"/>
  <c r="G19" i="4"/>
  <c r="D32" i="5"/>
  <c r="C24" i="9"/>
  <c r="D17" i="9" s="1"/>
  <c r="E25" i="13"/>
  <c r="D16" i="13"/>
  <c r="J16" i="13"/>
  <c r="B12" i="13"/>
  <c r="B16" i="13" s="1"/>
  <c r="F17" i="1"/>
  <c r="M10" i="5"/>
  <c r="M13" i="5" s="1"/>
  <c r="N12" i="7"/>
  <c r="I10" i="4"/>
  <c r="H13" i="4"/>
  <c r="G17" i="2"/>
  <c r="I17" i="2"/>
  <c r="F43" i="4"/>
  <c r="E22" i="13"/>
  <c r="C28" i="13"/>
  <c r="E33" i="4"/>
  <c r="K49" i="4"/>
  <c r="G37" i="13"/>
  <c r="I10" i="5"/>
  <c r="I13" i="5" s="1"/>
  <c r="J12" i="7"/>
  <c r="K46" i="4"/>
  <c r="G34" i="13"/>
  <c r="N43" i="4"/>
  <c r="H22" i="13"/>
  <c r="J57" i="4"/>
  <c r="F40" i="13"/>
  <c r="F16" i="13"/>
  <c r="C22" i="13"/>
  <c r="I59" i="4"/>
  <c r="E41" i="13"/>
  <c r="H43" i="4"/>
  <c r="I18" i="4" l="1"/>
  <c r="H19" i="4"/>
  <c r="E52" i="4"/>
  <c r="C29" i="13"/>
  <c r="D10" i="5"/>
  <c r="D13" i="5" s="1"/>
  <c r="E12" i="7"/>
  <c r="K16" i="4"/>
  <c r="J59" i="4"/>
  <c r="F41" i="13"/>
  <c r="L46" i="4"/>
  <c r="H34" i="13"/>
  <c r="N14" i="7"/>
  <c r="K55" i="4"/>
  <c r="G39" i="13"/>
  <c r="L10" i="5"/>
  <c r="L13" i="5" s="1"/>
  <c r="M12" i="7"/>
  <c r="M48" i="4"/>
  <c r="I36" i="13"/>
  <c r="E10" i="5"/>
  <c r="E13" i="5" s="1"/>
  <c r="F12" i="7"/>
  <c r="E26" i="13"/>
  <c r="G31" i="4"/>
  <c r="L49" i="4"/>
  <c r="H37" i="13"/>
  <c r="C31" i="13"/>
  <c r="J14" i="7"/>
  <c r="C24" i="5"/>
  <c r="C26" i="5"/>
  <c r="C30" i="5" s="1"/>
  <c r="C33" i="5" s="1"/>
  <c r="H47" i="4"/>
  <c r="D35" i="13"/>
  <c r="G50" i="4"/>
  <c r="D38" i="13" s="1"/>
  <c r="F25" i="13"/>
  <c r="J10" i="4"/>
  <c r="I13" i="4"/>
  <c r="K22" i="4"/>
  <c r="J29" i="4"/>
  <c r="H27" i="13" s="1"/>
  <c r="D19" i="9"/>
  <c r="H10" i="5"/>
  <c r="H13" i="5" s="1"/>
  <c r="I12" i="7"/>
  <c r="D28" i="13"/>
  <c r="F33" i="4"/>
  <c r="L14" i="7"/>
  <c r="K14" i="7"/>
  <c r="K57" i="4"/>
  <c r="G40" i="13"/>
  <c r="F10" i="5"/>
  <c r="F13" i="5" s="1"/>
  <c r="G12" i="7"/>
  <c r="G10" i="5"/>
  <c r="G13" i="5" s="1"/>
  <c r="H12" i="7"/>
  <c r="B31" i="13"/>
  <c r="G25" i="13" l="1"/>
  <c r="L16" i="4"/>
  <c r="I14" i="7"/>
  <c r="N48" i="4"/>
  <c r="K36" i="13" s="1"/>
  <c r="J36" i="13"/>
  <c r="H14" i="7"/>
  <c r="M14" i="7"/>
  <c r="M46" i="4"/>
  <c r="I34" i="13"/>
  <c r="C14" i="7"/>
  <c r="E14" i="7"/>
  <c r="D16" i="5"/>
  <c r="K10" i="4"/>
  <c r="J13" i="4"/>
  <c r="E28" i="13"/>
  <c r="G33" i="4"/>
  <c r="G14" i="7"/>
  <c r="G41" i="13"/>
  <c r="K59" i="4"/>
  <c r="F26" i="13"/>
  <c r="H31" i="4"/>
  <c r="L57" i="4"/>
  <c r="H40" i="13"/>
  <c r="F19" i="1"/>
  <c r="F21" i="1" s="1"/>
  <c r="C9" i="1" s="1"/>
  <c r="C27" i="9" s="1"/>
  <c r="C29" i="9" s="1"/>
  <c r="C31" i="9" s="1"/>
  <c r="E63" i="4" s="1"/>
  <c r="M49" i="4"/>
  <c r="I37" i="13"/>
  <c r="D22" i="9"/>
  <c r="F52" i="4"/>
  <c r="D29" i="13"/>
  <c r="D31" i="13" s="1"/>
  <c r="L22" i="4"/>
  <c r="K29" i="4"/>
  <c r="I27" i="13" s="1"/>
  <c r="I47" i="4"/>
  <c r="E35" i="13"/>
  <c r="H50" i="4"/>
  <c r="E38" i="13" s="1"/>
  <c r="F14" i="7"/>
  <c r="L55" i="4"/>
  <c r="H39" i="13"/>
  <c r="J18" i="4"/>
  <c r="I19" i="4"/>
  <c r="N49" i="4" l="1"/>
  <c r="K37" i="13" s="1"/>
  <c r="J37" i="13"/>
  <c r="K18" i="4"/>
  <c r="J19" i="4"/>
  <c r="J47" i="4"/>
  <c r="F35" i="13"/>
  <c r="I50" i="4"/>
  <c r="F38" i="13" s="1"/>
  <c r="L59" i="4"/>
  <c r="H41" i="13"/>
  <c r="B43" i="13"/>
  <c r="B44" i="13" s="1"/>
  <c r="B46" i="13" s="1"/>
  <c r="E67" i="4"/>
  <c r="E17" i="7"/>
  <c r="M16" i="4"/>
  <c r="C26" i="7"/>
  <c r="H25" i="13"/>
  <c r="G52" i="4"/>
  <c r="E29" i="13"/>
  <c r="E31" i="13" s="1"/>
  <c r="L29" i="4"/>
  <c r="J27" i="13" s="1"/>
  <c r="M22" i="4"/>
  <c r="M55" i="4"/>
  <c r="I39" i="13"/>
  <c r="E32" i="5"/>
  <c r="D24" i="9"/>
  <c r="E17" i="9" s="1"/>
  <c r="F28" i="13"/>
  <c r="H33" i="4"/>
  <c r="L10" i="4"/>
  <c r="K13" i="4"/>
  <c r="E16" i="5"/>
  <c r="M57" i="4"/>
  <c r="I40" i="13"/>
  <c r="I31" i="4"/>
  <c r="G26" i="13"/>
  <c r="D31" i="9"/>
  <c r="F63" i="4" s="1"/>
  <c r="N46" i="4"/>
  <c r="J34" i="13"/>
  <c r="I41" i="13" l="1"/>
  <c r="M59" i="4"/>
  <c r="C43" i="13"/>
  <c r="C44" i="13" s="1"/>
  <c r="C46" i="13" s="1"/>
  <c r="F67" i="4"/>
  <c r="F17" i="7"/>
  <c r="I25" i="13"/>
  <c r="K47" i="4"/>
  <c r="G35" i="13"/>
  <c r="J50" i="4"/>
  <c r="G38" i="13" s="1"/>
  <c r="F16" i="5"/>
  <c r="M10" i="4"/>
  <c r="L13" i="4"/>
  <c r="N55" i="4"/>
  <c r="J39" i="13"/>
  <c r="D17" i="5"/>
  <c r="D20" i="5" s="1"/>
  <c r="D22" i="5" s="1"/>
  <c r="E77" i="4"/>
  <c r="J31" i="4"/>
  <c r="H26" i="13"/>
  <c r="N16" i="4"/>
  <c r="H52" i="4"/>
  <c r="F29" i="13"/>
  <c r="F31" i="13" s="1"/>
  <c r="L18" i="4"/>
  <c r="K19" i="4"/>
  <c r="G28" i="13"/>
  <c r="I33" i="4"/>
  <c r="N22" i="4"/>
  <c r="N29" i="4" s="1"/>
  <c r="M29" i="4"/>
  <c r="K27" i="13" s="1"/>
  <c r="K34" i="13"/>
  <c r="N57" i="4"/>
  <c r="K40" i="13" s="1"/>
  <c r="J40" i="13"/>
  <c r="E19" i="9"/>
  <c r="G29" i="13" l="1"/>
  <c r="G31" i="13" s="1"/>
  <c r="I52" i="4"/>
  <c r="N10" i="4"/>
  <c r="N13" i="4" s="1"/>
  <c r="M13" i="4"/>
  <c r="F16" i="7"/>
  <c r="F19" i="7" s="1"/>
  <c r="E16" i="7"/>
  <c r="E19" i="7" s="1"/>
  <c r="N59" i="4"/>
  <c r="K41" i="13" s="1"/>
  <c r="J41" i="13"/>
  <c r="K31" i="4"/>
  <c r="I26" i="13"/>
  <c r="M18" i="4"/>
  <c r="L19" i="4"/>
  <c r="H28" i="13"/>
  <c r="J33" i="4"/>
  <c r="D24" i="5"/>
  <c r="K39" i="13"/>
  <c r="L47" i="4"/>
  <c r="H35" i="13"/>
  <c r="K50" i="4"/>
  <c r="H38" i="13" s="1"/>
  <c r="E17" i="5"/>
  <c r="E20" i="5" s="1"/>
  <c r="E22" i="5" s="1"/>
  <c r="F77" i="4"/>
  <c r="G16" i="7" s="1"/>
  <c r="G16" i="5"/>
  <c r="E31" i="9"/>
  <c r="G63" i="4" s="1"/>
  <c r="E22" i="9"/>
  <c r="J25" i="13"/>
  <c r="E21" i="7" l="1"/>
  <c r="E24" i="7" s="1"/>
  <c r="E23" i="7"/>
  <c r="N18" i="4"/>
  <c r="N19" i="4" s="1"/>
  <c r="N31" i="4" s="1"/>
  <c r="M19" i="4"/>
  <c r="K25" i="13"/>
  <c r="F32" i="5"/>
  <c r="E24" i="9"/>
  <c r="F17" i="9" s="1"/>
  <c r="F21" i="7"/>
  <c r="F24" i="7" s="1"/>
  <c r="F23" i="7"/>
  <c r="N33" i="4"/>
  <c r="L31" i="4"/>
  <c r="J26" i="13"/>
  <c r="E34" i="7"/>
  <c r="C57" i="15"/>
  <c r="E37" i="7"/>
  <c r="I28" i="13"/>
  <c r="K33" i="4"/>
  <c r="D43" i="13"/>
  <c r="D44" i="13" s="1"/>
  <c r="D46" i="13" s="1"/>
  <c r="G17" i="7"/>
  <c r="G19" i="7" s="1"/>
  <c r="G67" i="4"/>
  <c r="E24" i="5"/>
  <c r="D26" i="5"/>
  <c r="D30" i="5" s="1"/>
  <c r="D33" i="5" s="1"/>
  <c r="H16" i="5"/>
  <c r="M47" i="4"/>
  <c r="I35" i="13"/>
  <c r="L50" i="4"/>
  <c r="I38" i="13" s="1"/>
  <c r="J52" i="4"/>
  <c r="H29" i="13"/>
  <c r="H31" i="13" s="1"/>
  <c r="G21" i="7" l="1"/>
  <c r="G24" i="7" s="1"/>
  <c r="G23" i="7"/>
  <c r="J28" i="13"/>
  <c r="L33" i="4"/>
  <c r="K26" i="13"/>
  <c r="M31" i="4"/>
  <c r="I29" i="13"/>
  <c r="I31" i="13" s="1"/>
  <c r="K52" i="4"/>
  <c r="C77" i="7"/>
  <c r="N47" i="4"/>
  <c r="J35" i="13"/>
  <c r="M50" i="4"/>
  <c r="J38" i="13" s="1"/>
  <c r="F17" i="5"/>
  <c r="F20" i="5" s="1"/>
  <c r="F22" i="5" s="1"/>
  <c r="G77" i="4"/>
  <c r="H16" i="7" s="1"/>
  <c r="I16" i="5"/>
  <c r="F34" i="7"/>
  <c r="D57" i="15"/>
  <c r="F37" i="7"/>
  <c r="E26" i="5"/>
  <c r="E30" i="5" s="1"/>
  <c r="E33" i="5" s="1"/>
  <c r="C59" i="15"/>
  <c r="C58" i="15"/>
  <c r="F19" i="9"/>
  <c r="F24" i="5" l="1"/>
  <c r="K28" i="13"/>
  <c r="M33" i="4"/>
  <c r="L52" i="4"/>
  <c r="J29" i="13"/>
  <c r="J31" i="13" s="1"/>
  <c r="F31" i="9"/>
  <c r="H63" i="4" s="1"/>
  <c r="F22" i="9"/>
  <c r="D77" i="7"/>
  <c r="K35" i="13"/>
  <c r="N50" i="4"/>
  <c r="J16" i="5"/>
  <c r="D59" i="15"/>
  <c r="D61" i="15" s="1"/>
  <c r="D58" i="15"/>
  <c r="C61" i="15"/>
  <c r="G32" i="5" l="1"/>
  <c r="F24" i="9"/>
  <c r="G17" i="9" s="1"/>
  <c r="E57" i="15"/>
  <c r="G37" i="7"/>
  <c r="G34" i="7"/>
  <c r="K38" i="13"/>
  <c r="N52" i="4"/>
  <c r="E43" i="13"/>
  <c r="E44" i="13" s="1"/>
  <c r="E46" i="13" s="1"/>
  <c r="H17" i="7"/>
  <c r="H19" i="7" s="1"/>
  <c r="H67" i="4"/>
  <c r="F26" i="5"/>
  <c r="F30" i="5" s="1"/>
  <c r="F33" i="5" s="1"/>
  <c r="K16" i="5"/>
  <c r="M52" i="4"/>
  <c r="K29" i="13"/>
  <c r="K31" i="13" s="1"/>
  <c r="E59" i="15" l="1"/>
  <c r="E58" i="15"/>
  <c r="E77" i="7"/>
  <c r="G17" i="5"/>
  <c r="G20" i="5" s="1"/>
  <c r="G22" i="5" s="1"/>
  <c r="H77" i="4"/>
  <c r="I16" i="7" s="1"/>
  <c r="G19" i="9"/>
  <c r="L16" i="5"/>
  <c r="H21" i="7"/>
  <c r="H24" i="7" s="1"/>
  <c r="H23" i="7"/>
  <c r="M16" i="5"/>
  <c r="E61" i="15" l="1"/>
  <c r="G31" i="9"/>
  <c r="I63" i="4" s="1"/>
  <c r="G22" i="9"/>
  <c r="G24" i="5"/>
  <c r="F43" i="13" l="1"/>
  <c r="F44" i="13" s="1"/>
  <c r="F46" i="13" s="1"/>
  <c r="I17" i="7"/>
  <c r="I19" i="7" s="1"/>
  <c r="I67" i="4"/>
  <c r="F57" i="15"/>
  <c r="H37" i="7"/>
  <c r="H34" i="7"/>
  <c r="H32" i="5"/>
  <c r="G24" i="9"/>
  <c r="H17" i="9" s="1"/>
  <c r="G26" i="5"/>
  <c r="G30" i="5" s="1"/>
  <c r="G33" i="5" s="1"/>
  <c r="F59" i="15" l="1"/>
  <c r="F58" i="15"/>
  <c r="H17" i="5"/>
  <c r="H20" i="5" s="1"/>
  <c r="H22" i="5" s="1"/>
  <c r="I77" i="4"/>
  <c r="J16" i="7" s="1"/>
  <c r="I21" i="7"/>
  <c r="I24" i="7" s="1"/>
  <c r="I23" i="7"/>
  <c r="F77" i="7"/>
  <c r="H19" i="9"/>
  <c r="H24" i="5" l="1"/>
  <c r="H26" i="5"/>
  <c r="H30" i="5" s="1"/>
  <c r="H33" i="5" s="1"/>
  <c r="H31" i="9"/>
  <c r="J63" i="4" s="1"/>
  <c r="H22" i="9"/>
  <c r="F61" i="15"/>
  <c r="G43" i="13" l="1"/>
  <c r="G44" i="13" s="1"/>
  <c r="G46" i="13" s="1"/>
  <c r="J17" i="7"/>
  <c r="J19" i="7" s="1"/>
  <c r="J67" i="4"/>
  <c r="I32" i="5"/>
  <c r="H24" i="9"/>
  <c r="I17" i="9" s="1"/>
  <c r="G77" i="7"/>
  <c r="G57" i="15"/>
  <c r="I37" i="7"/>
  <c r="I34" i="7"/>
  <c r="I19" i="9" l="1"/>
  <c r="I17" i="5"/>
  <c r="I20" i="5" s="1"/>
  <c r="I22" i="5" s="1"/>
  <c r="J77" i="4"/>
  <c r="K16" i="7" s="1"/>
  <c r="J21" i="7"/>
  <c r="J24" i="7" s="1"/>
  <c r="J23" i="7"/>
  <c r="G59" i="15"/>
  <c r="G58" i="15"/>
  <c r="G61" i="15" l="1"/>
  <c r="I31" i="9"/>
  <c r="K63" i="4" s="1"/>
  <c r="I22" i="9"/>
  <c r="I24" i="5"/>
  <c r="I26" i="5"/>
  <c r="I30" i="5" s="1"/>
  <c r="I33" i="5" s="1"/>
  <c r="H77" i="7" s="1"/>
  <c r="H57" i="15" l="1"/>
  <c r="J37" i="7"/>
  <c r="J34" i="7"/>
  <c r="J32" i="5"/>
  <c r="I24" i="9"/>
  <c r="J17" i="9" s="1"/>
  <c r="H43" i="13"/>
  <c r="H44" i="13" s="1"/>
  <c r="H46" i="13" s="1"/>
  <c r="K17" i="7"/>
  <c r="K19" i="7" s="1"/>
  <c r="K67" i="4"/>
  <c r="K21" i="7" l="1"/>
  <c r="K24" i="7" s="1"/>
  <c r="K23" i="7"/>
  <c r="J17" i="5"/>
  <c r="J20" i="5" s="1"/>
  <c r="J22" i="5" s="1"/>
  <c r="K77" i="4"/>
  <c r="L16" i="7" s="1"/>
  <c r="J19" i="9"/>
  <c r="H59" i="15"/>
  <c r="H61" i="15" s="1"/>
  <c r="H58" i="15"/>
  <c r="J31" i="9" l="1"/>
  <c r="L63" i="4" s="1"/>
  <c r="J22" i="9"/>
  <c r="J24" i="5"/>
  <c r="I57" i="15" l="1"/>
  <c r="K37" i="7"/>
  <c r="K34" i="7"/>
  <c r="J26" i="5"/>
  <c r="J30" i="5" s="1"/>
  <c r="J33" i="5" s="1"/>
  <c r="I77" i="7" s="1"/>
  <c r="K32" i="5"/>
  <c r="J24" i="9"/>
  <c r="K17" i="9" s="1"/>
  <c r="I43" i="13"/>
  <c r="I44" i="13" s="1"/>
  <c r="I46" i="13" s="1"/>
  <c r="L17" i="7"/>
  <c r="L19" i="7" s="1"/>
  <c r="L67" i="4"/>
  <c r="L21" i="7" l="1"/>
  <c r="L24" i="7" s="1"/>
  <c r="L23" i="7"/>
  <c r="K19" i="9"/>
  <c r="K17" i="5"/>
  <c r="K20" i="5" s="1"/>
  <c r="K22" i="5" s="1"/>
  <c r="L77" i="4"/>
  <c r="M16" i="7" s="1"/>
  <c r="I59" i="15"/>
  <c r="I61" i="15" s="1"/>
  <c r="I58" i="15"/>
  <c r="K31" i="9" l="1"/>
  <c r="M63" i="4" s="1"/>
  <c r="K22" i="9"/>
  <c r="K24" i="5"/>
  <c r="J57" i="15" l="1"/>
  <c r="L34" i="7"/>
  <c r="L37" i="7"/>
  <c r="K26" i="5"/>
  <c r="K30" i="5" s="1"/>
  <c r="K33" i="5" s="1"/>
  <c r="J77" i="7" s="1"/>
  <c r="L32" i="5"/>
  <c r="K24" i="9"/>
  <c r="L17" i="9" s="1"/>
  <c r="J43" i="13"/>
  <c r="J44" i="13" s="1"/>
  <c r="J46" i="13" s="1"/>
  <c r="M17" i="7"/>
  <c r="M19" i="7" s="1"/>
  <c r="M67" i="4"/>
  <c r="M21" i="7" l="1"/>
  <c r="M24" i="7" s="1"/>
  <c r="M23" i="7"/>
  <c r="L19" i="9"/>
  <c r="L17" i="5"/>
  <c r="L20" i="5" s="1"/>
  <c r="L22" i="5" s="1"/>
  <c r="M77" i="4"/>
  <c r="N16" i="7" s="1"/>
  <c r="J59" i="15"/>
  <c r="J61" i="15" s="1"/>
  <c r="J58" i="15"/>
  <c r="L24" i="5" l="1"/>
  <c r="L26" i="5" s="1"/>
  <c r="L30" i="5" s="1"/>
  <c r="L33" i="5" s="1"/>
  <c r="K77" i="7" s="1"/>
  <c r="L31" i="9"/>
  <c r="N63" i="4" s="1"/>
  <c r="L22" i="9"/>
  <c r="K43" i="13" l="1"/>
  <c r="K44" i="13" s="1"/>
  <c r="K46" i="13" s="1"/>
  <c r="N17" i="7"/>
  <c r="N19" i="7" s="1"/>
  <c r="N67" i="4"/>
  <c r="M32" i="5"/>
  <c r="L24" i="9"/>
  <c r="K57" i="15"/>
  <c r="M34" i="7"/>
  <c r="M37" i="7"/>
  <c r="N21" i="7" l="1"/>
  <c r="N24" i="7" s="1"/>
  <c r="N23" i="7"/>
  <c r="C29" i="7" s="1"/>
  <c r="C21" i="7"/>
  <c r="C27" i="7" s="1"/>
  <c r="K59" i="15"/>
  <c r="K61" i="15" s="1"/>
  <c r="K58" i="15"/>
  <c r="M17" i="5"/>
  <c r="M20" i="5" s="1"/>
  <c r="M22" i="5" s="1"/>
  <c r="N77" i="4"/>
  <c r="M24" i="5" l="1"/>
  <c r="D40" i="7"/>
  <c r="D55" i="7"/>
  <c r="D46" i="7"/>
  <c r="D62" i="7"/>
  <c r="C30" i="7"/>
  <c r="C28" i="7"/>
  <c r="E46" i="7" l="1"/>
  <c r="E40" i="7"/>
  <c r="E55" i="7"/>
  <c r="E62" i="7"/>
  <c r="L57" i="15"/>
  <c r="N34" i="7"/>
  <c r="C36" i="7" s="1"/>
  <c r="N37" i="7"/>
  <c r="C38" i="7" s="1"/>
  <c r="C46" i="7"/>
  <c r="C62" i="7"/>
  <c r="C40" i="7"/>
  <c r="C55" i="7"/>
  <c r="M26" i="5"/>
  <c r="M30" i="5" s="1"/>
  <c r="M33" i="5" s="1"/>
  <c r="G62" i="7" l="1"/>
  <c r="G55" i="7"/>
  <c r="G46" i="7"/>
  <c r="G40" i="7"/>
  <c r="F55" i="7"/>
  <c r="F46" i="7"/>
  <c r="F40" i="7"/>
  <c r="F62" i="7"/>
  <c r="L59" i="15"/>
  <c r="L58" i="15"/>
  <c r="M58" i="15" s="1"/>
  <c r="M57" i="15"/>
  <c r="N77" i="7"/>
  <c r="M77" i="7"/>
  <c r="O77" i="7"/>
  <c r="L77" i="7"/>
  <c r="C31" i="7" s="1"/>
  <c r="H62" i="7" l="1"/>
  <c r="H55" i="7"/>
  <c r="H46" i="7"/>
  <c r="H40" i="7"/>
  <c r="L61" i="15"/>
  <c r="M61" i="15" s="1"/>
  <c r="M59" i="15"/>
</calcChain>
</file>

<file path=xl/sharedStrings.xml><?xml version="1.0" encoding="utf-8"?>
<sst xmlns="http://schemas.openxmlformats.org/spreadsheetml/2006/main" count="728" uniqueCount="480">
  <si>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</si>
  <si>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</si>
  <si>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</si>
  <si>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</si>
  <si>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</si>
  <si>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</si>
  <si>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</si>
  <si>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</si>
  <si>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</si>
  <si>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</si>
  <si>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0</t>
  </si>
  <si>
    <t>Total Investment</t>
  </si>
  <si>
    <t>Loan Amount</t>
  </si>
  <si>
    <t>Loan Term</t>
  </si>
  <si>
    <t>Long Term Interest Rate</t>
  </si>
  <si>
    <t>Percent Financed</t>
  </si>
  <si>
    <t>Working Capital</t>
  </si>
  <si>
    <t>Beginning Balance</t>
  </si>
  <si>
    <t>Interest Rate</t>
  </si>
  <si>
    <t>Interest</t>
  </si>
  <si>
    <t>Annual Payment</t>
  </si>
  <si>
    <t>Principal</t>
  </si>
  <si>
    <t>Ending Balance</t>
  </si>
  <si>
    <t>Short Term Interest Rate</t>
  </si>
  <si>
    <t>Interest Amount</t>
  </si>
  <si>
    <t>Total Interest Expense</t>
  </si>
  <si>
    <t>Labor</t>
  </si>
  <si>
    <t>Occupation</t>
  </si>
  <si>
    <t>Salary</t>
  </si>
  <si>
    <t>Overtime</t>
  </si>
  <si>
    <t>Benefits</t>
  </si>
  <si>
    <t>Salaries</t>
  </si>
  <si>
    <t>Benefits as % of Salaries</t>
  </si>
  <si>
    <t>% of Payroll Tax to Salaries</t>
  </si>
  <si>
    <t>% of Retirement Tax to Salaries</t>
  </si>
  <si>
    <t>Total Labor</t>
  </si>
  <si>
    <t>Variable</t>
  </si>
  <si>
    <t>Utilities</t>
  </si>
  <si>
    <t>Fixed</t>
  </si>
  <si>
    <t>Maintenance</t>
  </si>
  <si>
    <t>Property Tax</t>
  </si>
  <si>
    <t>Insurance</t>
  </si>
  <si>
    <t>Supplies</t>
  </si>
  <si>
    <t>Buildings</t>
  </si>
  <si>
    <t>Special Purpose Buildings</t>
  </si>
  <si>
    <t>Equipment and Heavy Rolling Stock</t>
  </si>
  <si>
    <t>Light Trucks and Vehicles</t>
  </si>
  <si>
    <t>Depreciation</t>
  </si>
  <si>
    <t>Other</t>
  </si>
  <si>
    <t>Miscellaneous</t>
  </si>
  <si>
    <t>Total Fixed</t>
  </si>
  <si>
    <t>Total Expenses</t>
  </si>
  <si>
    <t>Total</t>
  </si>
  <si>
    <t>Expenses</t>
  </si>
  <si>
    <t>Discount Rate</t>
  </si>
  <si>
    <t>Return On Investment</t>
  </si>
  <si>
    <t>Quality Percent</t>
  </si>
  <si>
    <t>Gross Margin</t>
  </si>
  <si>
    <t>Discount Factor</t>
  </si>
  <si>
    <t>PV of Income</t>
  </si>
  <si>
    <t>Total Expense</t>
  </si>
  <si>
    <t>Cash Expenses</t>
  </si>
  <si>
    <t>PV of Expenses</t>
  </si>
  <si>
    <t>Benefits Less Costs</t>
  </si>
  <si>
    <t>Net Present Value</t>
  </si>
  <si>
    <t>Internal Rate of Return</t>
  </si>
  <si>
    <t>Year</t>
  </si>
  <si>
    <t>Annual Total Depreciation</t>
  </si>
  <si>
    <t>Light Truck and Vehicles</t>
  </si>
  <si>
    <t>39 year Straight Line</t>
  </si>
  <si>
    <t>Total Depreciation</t>
  </si>
  <si>
    <t>10 year with percentage from table</t>
  </si>
  <si>
    <t>7 year with percentage from table</t>
  </si>
  <si>
    <t>5 year with percentage from table</t>
  </si>
  <si>
    <t>Cost</t>
  </si>
  <si>
    <t>Life</t>
  </si>
  <si>
    <t>Salvage</t>
  </si>
  <si>
    <t>Period</t>
  </si>
  <si>
    <t>Depreciation per year for 39 years</t>
  </si>
  <si>
    <t>Rate</t>
  </si>
  <si>
    <t>Description</t>
  </si>
  <si>
    <t>Value</t>
  </si>
  <si>
    <t>#1</t>
  </si>
  <si>
    <t>#2</t>
  </si>
  <si>
    <t>#3</t>
  </si>
  <si>
    <t>#4</t>
  </si>
  <si>
    <t>#5</t>
  </si>
  <si>
    <t>Total Buildings</t>
  </si>
  <si>
    <t>Total Equip and Heavy Rolling Stock</t>
  </si>
  <si>
    <t>Total Special Purpose Building</t>
  </si>
  <si>
    <t>Total Light Trucks and Vehicles</t>
  </si>
  <si>
    <t>10 year Straight Line</t>
  </si>
  <si>
    <t>7 Yr MACRS with half year convention</t>
  </si>
  <si>
    <t>5 Yr MACRS with half year convention</t>
  </si>
  <si>
    <t>Wage Inflation</t>
  </si>
  <si>
    <t>Expense Inflation Rate</t>
  </si>
  <si>
    <t>Total Plant Property and Equipment</t>
  </si>
  <si>
    <t>Total Plant Property &amp; Equip</t>
  </si>
  <si>
    <t>Income Tax Rate</t>
  </si>
  <si>
    <t>Overtime%</t>
  </si>
  <si>
    <t xml:space="preserve">Sales growth </t>
  </si>
  <si>
    <t>Production Expenses</t>
  </si>
  <si>
    <t>Total PV of Income</t>
  </si>
  <si>
    <t>Total PV of Expenses</t>
  </si>
  <si>
    <t>PV Benefits Less PV Costs</t>
  </si>
  <si>
    <t>Land</t>
  </si>
  <si>
    <t>Total Land, Plant Property and Equipment</t>
  </si>
  <si>
    <t>This sheet allows you to input salaries and overtime assumptions for various positions.</t>
  </si>
  <si>
    <t>Benefit calculations are based on the percentage you entered on the "Input" sheet.</t>
  </si>
  <si>
    <t>This sheet summaries income, expenses and net profit.  There are no inputs on this sheet</t>
  </si>
  <si>
    <t>Before Tax Profit</t>
  </si>
  <si>
    <t>Tax</t>
  </si>
  <si>
    <t>After Tax Profit</t>
  </si>
  <si>
    <t>If you choose to modify the template we would advise you to save it under another name and retain the original for reference.</t>
  </si>
  <si>
    <t>Developed by:</t>
  </si>
  <si>
    <t xml:space="preserve">Phil Kenkel and Rodney Holcomb, Oklahoma State University </t>
  </si>
  <si>
    <t>Developed for:</t>
  </si>
  <si>
    <t>Ag Marketing Resource Center</t>
  </si>
  <si>
    <t>To get started go to the "Input Page"</t>
  </si>
  <si>
    <t>For comments or suggestions contact:</t>
  </si>
  <si>
    <t>This sheet summaries the feasibility of the project.  It provides net present value, benefit cost ratio and internal rate of return</t>
  </si>
  <si>
    <t>PV Benefit/PV Cost Ratio</t>
  </si>
  <si>
    <t>This sheet calculates depreciation.  You enter descriptions and values for buildings, equipment and other property.</t>
  </si>
  <si>
    <t>Total Personnel</t>
  </si>
  <si>
    <t>This sheet calculates loan amortization and interest.  There are no inputs on this sheet.</t>
  </si>
  <si>
    <t>INPUT CAPITAL STRUCTURE AND</t>
  </si>
  <si>
    <t>EXPENSE INFORMATION</t>
  </si>
  <si>
    <t>Gross Sales</t>
  </si>
  <si>
    <t>The template can also be modified and expanded to meet your particular situation by turning off the protection.</t>
  </si>
  <si>
    <t>Each sheet is currently protected allowing you to only input information in the input cells.</t>
  </si>
  <si>
    <t xml:space="preserve"> </t>
  </si>
  <si>
    <t>Installation</t>
  </si>
  <si>
    <t>Manager</t>
  </si>
  <si>
    <t>After Tax Profits</t>
  </si>
  <si>
    <t>Principle</t>
  </si>
  <si>
    <t xml:space="preserve">Cash Flow </t>
  </si>
  <si>
    <t>Electricity cost per Kilowatt</t>
  </si>
  <si>
    <t>Gas Cost per MCF</t>
  </si>
  <si>
    <t>Electricity</t>
  </si>
  <si>
    <t>Natural Gas</t>
  </si>
  <si>
    <t>Electricity Cost/KW</t>
  </si>
  <si>
    <t>KW/HP</t>
  </si>
  <si>
    <t>Water removed/ton</t>
  </si>
  <si>
    <t>BTU's/lb. water</t>
  </si>
  <si>
    <t>BTU's needed/ton</t>
  </si>
  <si>
    <t>BTU's needed</t>
  </si>
  <si>
    <t>MCF Gas needed</t>
  </si>
  <si>
    <t>Gas Cost/MCF</t>
  </si>
  <si>
    <t>Hours of Operation</t>
  </si>
  <si>
    <t>$/unit</t>
  </si>
  <si>
    <t>Variable Costs</t>
  </si>
  <si>
    <t>Horse Power Req./Hour</t>
  </si>
  <si>
    <t>Electricity Cost/ Year</t>
  </si>
  <si>
    <t>Gas Cost/ Year</t>
  </si>
  <si>
    <t>Other Utilities</t>
  </si>
  <si>
    <t>Water Cost/Year</t>
  </si>
  <si>
    <t>Telphone Cost/Year</t>
  </si>
  <si>
    <t>Water Cost/ Year</t>
  </si>
  <si>
    <t>Natural Gas Cost/ Year</t>
  </si>
  <si>
    <t>Telephone Cost/ Year</t>
  </si>
  <si>
    <t>Total Utilities/ Year</t>
  </si>
  <si>
    <t>Estimate of Cash Flows</t>
  </si>
  <si>
    <t>(does not consider increase or decrease in working capital loan)</t>
  </si>
  <si>
    <t>(after tax profits/PP&amp;E investment)</t>
  </si>
  <si>
    <t>% of Employee INS Tax to Salaries</t>
  </si>
  <si>
    <t>NPV</t>
  </si>
  <si>
    <t>IRR</t>
  </si>
  <si>
    <t>B/C</t>
  </si>
  <si>
    <t>OPERATIONAL SUMMARY</t>
  </si>
  <si>
    <t>UTILITIES</t>
  </si>
  <si>
    <t>OTHER</t>
  </si>
  <si>
    <t>TAX INFORMATION</t>
  </si>
  <si>
    <t>PAYROLL INFORMATION</t>
  </si>
  <si>
    <t>Maintenance as % of PP&amp;E</t>
  </si>
  <si>
    <t>Insurance as % of PP&amp;E</t>
  </si>
  <si>
    <t>Discount rate for NPV calc</t>
  </si>
  <si>
    <t>Property Tax as % of PP&amp;E</t>
  </si>
  <si>
    <t>FORWARD TO RESULTS</t>
  </si>
  <si>
    <t xml:space="preserve">OTHER INPUTS ENTRIES ARE IN </t>
  </si>
  <si>
    <t>PERSONNEL EXPENSES</t>
  </si>
  <si>
    <t>EXPENSE PROJECTIONS</t>
  </si>
  <si>
    <t>DEPRECIATION</t>
  </si>
  <si>
    <t>BACK TO INPUTS</t>
  </si>
  <si>
    <t>MENU</t>
  </si>
  <si>
    <t>MENU: Click Below to Move to the Indicated Page</t>
  </si>
  <si>
    <t>BACK TO INTRODUCTION</t>
  </si>
  <si>
    <t>INPUTS</t>
  </si>
  <si>
    <t>MARKET PROJECTION</t>
  </si>
  <si>
    <t>LOAN AMORITIZATION</t>
  </si>
  <si>
    <t>EXPENSE PROJECTION</t>
  </si>
  <si>
    <t>OPERATIONS SUMMARY</t>
  </si>
  <si>
    <t>RETURN ON INVESTMENT</t>
  </si>
  <si>
    <t>WORKING CAPITAL</t>
  </si>
  <si>
    <t>Total Working Cap Requirement</t>
  </si>
  <si>
    <t>Phil Kenkel,  kenkel@okstate.edu  405-744-9818</t>
  </si>
  <si>
    <t>Additional WC as % of Sales</t>
  </si>
  <si>
    <t>Additional WC in Dollars</t>
  </si>
  <si>
    <t>Additional WC for Contingency</t>
  </si>
  <si>
    <t>This templates is designed to assist you in assessing the feasibility of a typical alfalfa dehydration operation.</t>
  </si>
  <si>
    <t xml:space="preserve">The template assumes that the operation purchases forage and hay and then sells alfalfa pellets and/or alfalfa meal. </t>
  </si>
  <si>
    <t>This Sheet summarizes expenses.  The only input is for "supplies and miscellaneous" expenses.</t>
  </si>
  <si>
    <t>Payback Period</t>
  </si>
  <si>
    <t>****</t>
  </si>
  <si>
    <t>*Payback Period only displayed if less than 10 years</t>
  </si>
  <si>
    <t>The only input is the discount rate.  Page down to enter the B44results of your sensitivity analysis+B7</t>
  </si>
  <si>
    <t>Less Depreciation and Term Interest</t>
  </si>
  <si>
    <t>Cotton Ginning Cost and Returns Template</t>
  </si>
  <si>
    <t>Input cells are shaded in green.</t>
  </si>
  <si>
    <t>A.M. Hours</t>
  </si>
  <si>
    <t>P.M. Hours</t>
  </si>
  <si>
    <t>Total Cost</t>
  </si>
  <si>
    <t>Bags and Ties</t>
  </si>
  <si>
    <t>Cotton</t>
  </si>
  <si>
    <t>Bale Needs</t>
  </si>
  <si>
    <t>Equipment</t>
  </si>
  <si>
    <t>Quantity</t>
  </si>
  <si>
    <t>Horsepower</t>
  </si>
  <si>
    <t>Dollars</t>
  </si>
  <si>
    <t>Green boll and rock trap</t>
  </si>
  <si>
    <t>Air-line Cleaner</t>
  </si>
  <si>
    <t>Feed Control</t>
  </si>
  <si>
    <t>Tower Drier</t>
  </si>
  <si>
    <t>Cylinder Cleaner</t>
  </si>
  <si>
    <t>Stick Machine</t>
  </si>
  <si>
    <t>Extractor Feeder</t>
  </si>
  <si>
    <t>Gin Stand</t>
  </si>
  <si>
    <t>Lint Cleaner</t>
  </si>
  <si>
    <t>Press</t>
  </si>
  <si>
    <t>Unloader</t>
  </si>
  <si>
    <t>Module Trucks</t>
  </si>
  <si>
    <t>Distributor</t>
  </si>
  <si>
    <t>Overflow system</t>
  </si>
  <si>
    <t>Cotton seed storage</t>
  </si>
  <si>
    <t>Mote Fan</t>
  </si>
  <si>
    <t>Mote Cleaner</t>
  </si>
  <si>
    <t>Mote Trash Fan</t>
  </si>
  <si>
    <t>Battery Condenser and Baling System</t>
  </si>
  <si>
    <t>Master Trash Fan</t>
  </si>
  <si>
    <t>Bale Storage</t>
  </si>
  <si>
    <t>Cyclone robber system</t>
  </si>
  <si>
    <t xml:space="preserve">This sheet allows you to compare the relationship between input and output. </t>
  </si>
  <si>
    <t xml:space="preserve">This sheet list the equipment used along with the quantity, horsepower and dollars. </t>
  </si>
  <si>
    <t>Bales/Hours</t>
  </si>
  <si>
    <t>Menu</t>
  </si>
  <si>
    <t>Forward to Results</t>
  </si>
  <si>
    <t>Back to Inputs</t>
  </si>
  <si>
    <t>Back to Utilities</t>
  </si>
  <si>
    <t>Assistant Manager</t>
  </si>
  <si>
    <t>Maintenance Foreman</t>
  </si>
  <si>
    <t>Total # of Employees</t>
  </si>
  <si>
    <t>EFFICIENCY</t>
  </si>
  <si>
    <t>EQUIPMENT</t>
  </si>
  <si>
    <t xml:space="preserve">Total </t>
  </si>
  <si>
    <t>MCF Gas Needed/bale</t>
  </si>
  <si>
    <t>Electricity Cost/ bale</t>
  </si>
  <si>
    <t>Natural Gas Cost/bale</t>
  </si>
  <si>
    <t>Telephone Cost/ bale</t>
  </si>
  <si>
    <t>Total Utilities/ bale</t>
  </si>
  <si>
    <t xml:space="preserve">Tons of seed cotton delivered </t>
  </si>
  <si>
    <t>Moisture Content of seed cotton</t>
  </si>
  <si>
    <t>Ginning Fees</t>
  </si>
  <si>
    <t>Compression fee</t>
  </si>
  <si>
    <t>Module transportation fees</t>
  </si>
  <si>
    <t>Seed cotton sales</t>
  </si>
  <si>
    <t xml:space="preserve"> Farmer</t>
  </si>
  <si>
    <t>Payment from warehouse</t>
  </si>
  <si>
    <t>Administrative and Overhead</t>
  </si>
  <si>
    <t>Ginning Labor</t>
  </si>
  <si>
    <t>Rated Capacity (bph)</t>
  </si>
  <si>
    <t>Season Length (days)</t>
  </si>
  <si>
    <t>Hours Ginned Daily</t>
  </si>
  <si>
    <t>bph=bales per hour</t>
  </si>
  <si>
    <t>Water Cost/ Bale</t>
  </si>
  <si>
    <t>Telephone Cost/Bale</t>
  </si>
  <si>
    <t>Electricity Cost/ Bale</t>
  </si>
  <si>
    <t>Gas Cost/Bale</t>
  </si>
  <si>
    <t>Daily Downtime Hours</t>
  </si>
  <si>
    <t>Bagging and Ties fees $/bale</t>
  </si>
  <si>
    <t>Ginning/Days</t>
  </si>
  <si>
    <t>Transportation cost /# bales</t>
  </si>
  <si>
    <t xml:space="preserve">Capacity. </t>
  </si>
  <si>
    <t>Horse Power use per year</t>
  </si>
  <si>
    <t>Cotton seed purchase</t>
  </si>
  <si>
    <t>Ginning Equipment</t>
  </si>
  <si>
    <t xml:space="preserve">Transportation </t>
  </si>
  <si>
    <t>Module hauling distance</t>
  </si>
  <si>
    <t>Module hauling cost/mile</t>
  </si>
  <si>
    <t>Gin to warehouse distance</t>
  </si>
  <si>
    <t>Warehouse trucking cost/mile</t>
  </si>
  <si>
    <t>start with number of bales- use inflation rate</t>
  </si>
  <si>
    <t>Bagging and Ties</t>
  </si>
  <si>
    <t>Fee</t>
  </si>
  <si>
    <t>Ginning</t>
  </si>
  <si>
    <t xml:space="preserve">Compression </t>
  </si>
  <si>
    <t>Seed Cotton sales</t>
  </si>
  <si>
    <t xml:space="preserve">Module transportation </t>
  </si>
  <si>
    <t>Bales to whs transport</t>
  </si>
  <si>
    <t xml:space="preserve">Ginning </t>
  </si>
  <si>
    <t>Compression</t>
  </si>
  <si>
    <t xml:space="preserve">Module Transportation </t>
  </si>
  <si>
    <t>Module Transportation cost/ module</t>
  </si>
  <si>
    <t>Ginner</t>
  </si>
  <si>
    <t>Ginner Helper</t>
  </si>
  <si>
    <t>Press Operator</t>
  </si>
  <si>
    <t>Module Feeders</t>
  </si>
  <si>
    <t>Lift Truck Operators</t>
  </si>
  <si>
    <t>Cleaners</t>
  </si>
  <si>
    <t>Seed &amp; Bale Movement</t>
  </si>
  <si>
    <t>Seed Truck Driver</t>
  </si>
  <si>
    <t>Bale Truck Driver</t>
  </si>
  <si>
    <t>Burr Truck Driver</t>
  </si>
  <si>
    <t>Mechanic</t>
  </si>
  <si>
    <t>Superintendent</t>
  </si>
  <si>
    <t>Scale Clerk</t>
  </si>
  <si>
    <t>7 other Operating 12 hours shifts</t>
  </si>
  <si>
    <t xml:space="preserve">There are 45 total employees including all shifts that are seasonal and 5 permanent employees. </t>
  </si>
  <si>
    <t>In Use</t>
  </si>
  <si>
    <t>Horsepower in use</t>
  </si>
  <si>
    <t>Total Gross Margin</t>
  </si>
  <si>
    <t>Moisture target-bale</t>
  </si>
  <si>
    <t>Dry matter/ton seed cotton</t>
  </si>
  <si>
    <t>Dry matter/ton ginning cotton</t>
  </si>
  <si>
    <t>Water removed per ton seed cot</t>
  </si>
  <si>
    <t>Water removed per bale ginned cotton</t>
  </si>
  <si>
    <t>Bale weight-lbs/bale</t>
  </si>
  <si>
    <t>Lint/seed cotton</t>
  </si>
  <si>
    <t>Picker</t>
  </si>
  <si>
    <t>Stripper</t>
  </si>
  <si>
    <t>Strip/Extr</t>
  </si>
  <si>
    <t>Trash</t>
  </si>
  <si>
    <t>Lbs. seed cotton/bale</t>
  </si>
  <si>
    <t>Module weight</t>
  </si>
  <si>
    <t>Efficiency relative to Picker</t>
  </si>
  <si>
    <t>Bales/Ton Cotton Seed</t>
  </si>
  <si>
    <t>Bales/module</t>
  </si>
  <si>
    <t>Actual capacity by type</t>
  </si>
  <si>
    <t>Effective daily capacity</t>
  </si>
  <si>
    <t>Gin capacity actual/rated</t>
  </si>
  <si>
    <t>Average daily capacity</t>
  </si>
  <si>
    <t>Rated hourly capacity</t>
  </si>
  <si>
    <t>Percent downtime</t>
  </si>
  <si>
    <t>Actual capacity w downtime</t>
  </si>
  <si>
    <t>Harvest Compostion</t>
  </si>
  <si>
    <t>This sheet shows the cost per bale.</t>
  </si>
  <si>
    <t>Water Cost/ bale</t>
  </si>
  <si>
    <t>Seed and Bale Movement</t>
  </si>
  <si>
    <t>Drivers</t>
  </si>
  <si>
    <t>Average bales/ module</t>
  </si>
  <si>
    <t>Cost per year and bale</t>
  </si>
  <si>
    <t>Module Hauling</t>
  </si>
  <si>
    <t>Transportation to Warehouse</t>
  </si>
  <si>
    <t>Transportation</t>
  </si>
  <si>
    <t>Average</t>
  </si>
  <si>
    <t>Total Modules</t>
  </si>
  <si>
    <t>Total Bales</t>
  </si>
  <si>
    <t>Farmer payments-bale transportation</t>
  </si>
  <si>
    <t>Warehouse paymbner-bales transporation</t>
  </si>
  <si>
    <t>Bales/Semi</t>
  </si>
  <si>
    <t>Total Tons of Cotton Seed</t>
  </si>
  <si>
    <t>Cotton Seed Sales/ton</t>
  </si>
  <si>
    <t>Seed Cotton Purchase</t>
  </si>
  <si>
    <t>Total Variable Expenses</t>
  </si>
  <si>
    <t>Total Utilities</t>
  </si>
  <si>
    <t>Total Production Expenses</t>
  </si>
  <si>
    <t>Total Other Expenses</t>
  </si>
  <si>
    <t>Other Expenses</t>
  </si>
  <si>
    <t>WC req. for Seed Purchases</t>
  </si>
  <si>
    <t>Average Return on Assets</t>
  </si>
  <si>
    <t>Lbs. Cotton Seed/Bale</t>
  </si>
  <si>
    <t>Cost of Goods Sold</t>
  </si>
  <si>
    <t>There are no inputs on this page</t>
  </si>
  <si>
    <t>The only inputs on this page are for "supplies and Miscelaneous expense"</t>
  </si>
  <si>
    <t>in year 0 and 1</t>
  </si>
  <si>
    <t>input cells are in light green</t>
  </si>
  <si>
    <t>John Park, jlpark@ag.tamu.edu 979-845-1751</t>
  </si>
  <si>
    <t>BACK TO INPUT</t>
  </si>
  <si>
    <t>Picker-Strip/Extr-Stripper</t>
  </si>
  <si>
    <t>25-30-45</t>
  </si>
  <si>
    <t>30-30-40</t>
  </si>
  <si>
    <t>35-30-35</t>
  </si>
  <si>
    <t>40-30-30</t>
  </si>
  <si>
    <t>Max. Seasonal Capacity (bales)</t>
  </si>
  <si>
    <t>Average Return on Equity</t>
  </si>
  <si>
    <t>ROA</t>
  </si>
  <si>
    <t>ROE</t>
  </si>
  <si>
    <t>Payback</t>
  </si>
  <si>
    <t>Seed Margin</t>
  </si>
  <si>
    <t/>
  </si>
  <si>
    <t>Total Fixed Labor</t>
  </si>
  <si>
    <t>Total Ginning Labor</t>
  </si>
  <si>
    <t>Total Logistics Labor</t>
  </si>
  <si>
    <t>Total Variable Labor</t>
  </si>
  <si>
    <t>Fixed Labor</t>
  </si>
  <si>
    <t>Logistics Labor</t>
  </si>
  <si>
    <t>Maintainence</t>
  </si>
  <si>
    <t>Margin/bale</t>
  </si>
  <si>
    <t>Total Grosss Margin</t>
  </si>
  <si>
    <t>Personnel Expense</t>
  </si>
  <si>
    <t>Fixed Expense</t>
  </si>
  <si>
    <t>Total Fixed Expense</t>
  </si>
  <si>
    <t>Total Expense per Bale</t>
  </si>
  <si>
    <t>Return on Assets (based on after tax profit)</t>
  </si>
  <si>
    <t>15-30-55</t>
  </si>
  <si>
    <t>less Seed Cotton Purchases</t>
  </si>
  <si>
    <t>Tot Salary</t>
  </si>
  <si>
    <t>Hiring Period-Ginning Crew</t>
  </si>
  <si>
    <t>Wage</t>
  </si>
  <si>
    <t>Water</t>
  </si>
  <si>
    <t>Telephone</t>
  </si>
  <si>
    <t>Trucks and trailers</t>
  </si>
  <si>
    <t>Forklifts</t>
  </si>
  <si>
    <t>Site Improvement</t>
  </si>
  <si>
    <t>Tarp Expense/module</t>
  </si>
  <si>
    <t>Tarp Expense</t>
  </si>
  <si>
    <t>Bales/ Days of operation</t>
  </si>
  <si>
    <t>57288/70</t>
  </si>
  <si>
    <t xml:space="preserve">Investment = Total Plant, Property and Equipment - Loan Amount   </t>
  </si>
  <si>
    <t>Total PP&amp;E</t>
  </si>
  <si>
    <t xml:space="preserve">Investment  </t>
  </si>
  <si>
    <t>Investment per Acre Market Projection = (Total Bales/Yield per Acre)-ODA Statistics</t>
  </si>
  <si>
    <t>Yield per Acre</t>
  </si>
  <si>
    <t>ODA Statistics</t>
  </si>
  <si>
    <t>Acres</t>
  </si>
  <si>
    <t>Investment per Acre = Investment / Acres</t>
  </si>
  <si>
    <t>Investment/Acre</t>
  </si>
  <si>
    <t>Producer Income</t>
  </si>
  <si>
    <t>Production Expense</t>
  </si>
  <si>
    <t>Seed</t>
  </si>
  <si>
    <t>Fertilizer</t>
  </si>
  <si>
    <t>Herbicide</t>
  </si>
  <si>
    <t>Insecticide</t>
  </si>
  <si>
    <t>Defoliant/ Boll Opener</t>
  </si>
  <si>
    <t xml:space="preserve">Total Operating </t>
  </si>
  <si>
    <t>Price/lb</t>
  </si>
  <si>
    <t>Bales per acre</t>
  </si>
  <si>
    <t>Market Price/lb</t>
  </si>
  <si>
    <t>Lint Revenue</t>
  </si>
  <si>
    <t>Cotton seed tons/acre</t>
  </si>
  <si>
    <t>Cotton Seed $/ton</t>
  </si>
  <si>
    <t>Cotton Seed Revenue</t>
  </si>
  <si>
    <t>Total Revenue</t>
  </si>
  <si>
    <t>Modules/acre</t>
  </si>
  <si>
    <t>Total Ginning &amp; Mkt Fees</t>
  </si>
  <si>
    <t>Net Revenue over Direct Costs</t>
  </si>
  <si>
    <t>Cotton Gin Returns</t>
  </si>
  <si>
    <t>Return on Investment for Producer Investing in New Generation Cotton Ginning Cooperative</t>
  </si>
  <si>
    <t>Historic Cotton Yield and Price Information</t>
  </si>
  <si>
    <t>Return on Investment-Gin</t>
  </si>
  <si>
    <t>Net Revenue over Direct Costs with Gin Profits</t>
  </si>
  <si>
    <t>Cotton seed /bale</t>
  </si>
  <si>
    <t>Seed/bale</t>
  </si>
  <si>
    <t>Cotton Seed: tons</t>
  </si>
  <si>
    <t>Cotton seed: lbs</t>
  </si>
  <si>
    <t>Cotton: tons</t>
  </si>
  <si>
    <t>Cotton Yield:bales</t>
  </si>
  <si>
    <t>Cotton Yield:lbs per Acre</t>
  </si>
  <si>
    <t>Planting-Custom</t>
  </si>
  <si>
    <t>Harvest-Custom</t>
  </si>
  <si>
    <t>Rate of return on production expense</t>
  </si>
  <si>
    <t>Total rate of return</t>
  </si>
  <si>
    <t>Scale Down</t>
  </si>
  <si>
    <t>Return on Equity (after tax profits/equity)</t>
  </si>
  <si>
    <t>48,877/ 60</t>
  </si>
  <si>
    <t>40731/50</t>
  </si>
  <si>
    <t>52950/65</t>
  </si>
  <si>
    <t>Breakeven volume is 65% of full 60 day day capacity or 31,771 bales/year</t>
  </si>
  <si>
    <t>Bale wrap</t>
  </si>
  <si>
    <t>Classing</t>
  </si>
  <si>
    <t>Freight to warehouse fee</t>
  </si>
  <si>
    <t>Warehouse receiving and storage</t>
  </si>
  <si>
    <t>Cotton Inc. and Nat. Cotton Council Promotion</t>
  </si>
  <si>
    <t>Tons of Seed Cotton</t>
  </si>
  <si>
    <t>Total tons of Seed Cotton</t>
  </si>
  <si>
    <t>Seed Cotton per Acre</t>
  </si>
  <si>
    <t>Gin to Warehouse trucking</t>
  </si>
  <si>
    <t>All Shifts</t>
  </si>
  <si>
    <t>Total Dollars</t>
  </si>
  <si>
    <t>per unit</t>
  </si>
  <si>
    <t>Field Scouting</t>
  </si>
  <si>
    <t>Custom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</si>
</sst>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&quot;$&quot;#,##0.000_);[Red]\(&quot;$&quot;#,##0.000\)"/>
    <numFmt numFmtId="166" formatCode="&quot;$&quot;#,##0"/>
    <numFmt numFmtId="167" formatCode="0.0%"/>
    <numFmt numFmtId="169" formatCode="_(&quot;$&quot;* #,##0_);_(&quot;$&quot;* \(#,##0\);_(&quot;$&quot;* &quot;-&quot;??_);_(@_)"/>
    <numFmt numFmtId="174" formatCode="0.0000"/>
    <numFmt numFmtId="177" formatCode="_(* #,##0_);_(* \(#,##0\);_(* &quot;-&quot;??_);_(@_)"/>
    <numFmt numFmtId="178" formatCode="0.0"/>
    <numFmt numFmtId="182" formatCode="_(* #,##0.000000_);_(* \(#,##0.000000\);_(* &quot;-&quot;??_);_(@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Book Antiqua"/>
      <family val="1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u/>
      <sz val="10"/>
      <color indexed="12"/>
      <name val="Arial"/>
    </font>
    <font>
      <u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2"/>
      <color indexed="9"/>
      <name val="Arial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Fill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9" fontId="0" fillId="0" borderId="0" xfId="0" applyNumberFormat="1"/>
    <xf numFmtId="38" fontId="0" fillId="0" borderId="0" xfId="0" applyNumberFormat="1"/>
    <xf numFmtId="38" fontId="2" fillId="0" borderId="0" xfId="0" applyNumberFormat="1" applyFont="1"/>
    <xf numFmtId="6" fontId="0" fillId="0" borderId="0" xfId="0" applyNumberFormat="1"/>
    <xf numFmtId="8" fontId="0" fillId="0" borderId="0" xfId="0" applyNumberFormat="1"/>
    <xf numFmtId="10" fontId="0" fillId="0" borderId="0" xfId="0" applyNumberFormat="1"/>
    <xf numFmtId="166" fontId="0" fillId="0" borderId="0" xfId="0" applyNumberFormat="1"/>
    <xf numFmtId="10" fontId="0" fillId="0" borderId="0" xfId="0" applyNumberFormat="1" applyFill="1"/>
    <xf numFmtId="6" fontId="0" fillId="0" borderId="0" xfId="0" applyNumberFormat="1" applyFill="1"/>
    <xf numFmtId="8" fontId="0" fillId="0" borderId="0" xfId="0" applyNumberFormat="1" applyFill="1"/>
    <xf numFmtId="9" fontId="4" fillId="0" borderId="0" xfId="0" applyNumberFormat="1" applyFont="1"/>
    <xf numFmtId="9" fontId="4" fillId="0" borderId="0" xfId="0" applyNumberFormat="1" applyFont="1" applyFill="1"/>
    <xf numFmtId="165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169" fontId="0" fillId="0" borderId="0" xfId="2" applyNumberFormat="1" applyFont="1"/>
    <xf numFmtId="169" fontId="0" fillId="0" borderId="0" xfId="0" applyNumberFormat="1"/>
    <xf numFmtId="0" fontId="0" fillId="0" borderId="0" xfId="0" applyNumberFormat="1" applyFill="1"/>
    <xf numFmtId="44" fontId="0" fillId="0" borderId="0" xfId="2" applyFont="1"/>
    <xf numFmtId="0" fontId="7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37" fontId="0" fillId="0" borderId="0" xfId="0" applyNumberFormat="1" applyProtection="1"/>
    <xf numFmtId="44" fontId="0" fillId="0" borderId="0" xfId="0" applyNumberFormat="1"/>
    <xf numFmtId="43" fontId="0" fillId="0" borderId="0" xfId="1" applyFont="1" applyProtection="1"/>
    <xf numFmtId="7" fontId="0" fillId="0" borderId="0" xfId="0" applyNumberFormat="1"/>
    <xf numFmtId="44" fontId="0" fillId="0" borderId="0" xfId="0" applyNumberFormat="1" applyProtection="1"/>
    <xf numFmtId="43" fontId="0" fillId="0" borderId="0" xfId="0" applyNumberForma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7" fontId="2" fillId="0" borderId="0" xfId="0" applyNumberFormat="1" applyFont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/>
    <xf numFmtId="0" fontId="0" fillId="0" borderId="1" xfId="0" applyBorder="1"/>
    <xf numFmtId="5" fontId="2" fillId="0" borderId="0" xfId="0" applyNumberFormat="1" applyFont="1" applyProtection="1"/>
    <xf numFmtId="7" fontId="2" fillId="0" borderId="1" xfId="0" applyNumberFormat="1" applyFont="1" applyBorder="1" applyProtection="1"/>
    <xf numFmtId="6" fontId="0" fillId="0" borderId="0" xfId="0" applyNumberFormat="1" applyFill="1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Protection="1"/>
    <xf numFmtId="0" fontId="2" fillId="0" borderId="5" xfId="0" applyFont="1" applyBorder="1" applyAlignment="1" applyProtection="1">
      <alignment horizontal="left"/>
    </xf>
    <xf numFmtId="0" fontId="0" fillId="0" borderId="6" xfId="0" applyBorder="1"/>
    <xf numFmtId="0" fontId="2" fillId="0" borderId="7" xfId="0" applyFont="1" applyBorder="1" applyAlignment="1">
      <alignment horizontal="left"/>
    </xf>
    <xf numFmtId="0" fontId="12" fillId="0" borderId="0" xfId="3" applyFont="1" applyFill="1" applyBorder="1" applyAlignment="1" applyProtection="1">
      <alignment horizontal="left"/>
    </xf>
    <xf numFmtId="0" fontId="2" fillId="0" borderId="5" xfId="0" applyFont="1" applyBorder="1"/>
    <xf numFmtId="44" fontId="0" fillId="0" borderId="0" xfId="2" applyFont="1" applyProtection="1"/>
    <xf numFmtId="7" fontId="0" fillId="0" borderId="8" xfId="0" applyNumberFormat="1" applyBorder="1" applyAlignment="1" applyProtection="1">
      <alignment horizontal="left"/>
    </xf>
    <xf numFmtId="169" fontId="0" fillId="0" borderId="4" xfId="2" applyNumberFormat="1" applyFont="1" applyFill="1" applyBorder="1" applyProtection="1"/>
    <xf numFmtId="0" fontId="0" fillId="0" borderId="0" xfId="0" applyFill="1" applyProtection="1"/>
    <xf numFmtId="0" fontId="0" fillId="0" borderId="9" xfId="0" applyBorder="1" applyProtection="1"/>
    <xf numFmtId="0" fontId="0" fillId="0" borderId="10" xfId="0" applyBorder="1" applyProtection="1"/>
    <xf numFmtId="0" fontId="2" fillId="0" borderId="11" xfId="0" applyFont="1" applyBorder="1" applyProtection="1"/>
    <xf numFmtId="0" fontId="0" fillId="0" borderId="12" xfId="0" applyBorder="1" applyProtection="1"/>
    <xf numFmtId="0" fontId="0" fillId="0" borderId="0" xfId="0" applyFill="1" applyBorder="1" applyProtection="1"/>
    <xf numFmtId="0" fontId="0" fillId="0" borderId="13" xfId="0" applyBorder="1" applyProtection="1"/>
    <xf numFmtId="0" fontId="3" fillId="0" borderId="3" xfId="0" applyFont="1" applyBorder="1" applyProtection="1"/>
    <xf numFmtId="0" fontId="0" fillId="0" borderId="3" xfId="0" applyBorder="1" applyProtection="1"/>
    <xf numFmtId="10" fontId="0" fillId="0" borderId="0" xfId="0" applyNumberFormat="1" applyFill="1" applyBorder="1" applyProtection="1"/>
    <xf numFmtId="9" fontId="0" fillId="0" borderId="0" xfId="0" applyNumberFormat="1" applyFill="1" applyBorder="1" applyProtection="1"/>
    <xf numFmtId="0" fontId="0" fillId="0" borderId="3" xfId="0" applyFill="1" applyBorder="1" applyProtection="1"/>
    <xf numFmtId="0" fontId="2" fillId="0" borderId="0" xfId="0" applyFont="1" applyBorder="1" applyProtection="1"/>
    <xf numFmtId="0" fontId="2" fillId="0" borderId="8" xfId="0" applyFont="1" applyBorder="1" applyProtection="1"/>
    <xf numFmtId="0" fontId="2" fillId="0" borderId="0" xfId="0" applyFont="1" applyFill="1" applyBorder="1" applyProtection="1"/>
    <xf numFmtId="44" fontId="0" fillId="0" borderId="0" xfId="2" applyFont="1" applyFill="1" applyBorder="1" applyAlignment="1" applyProtection="1">
      <alignment horizontal="center"/>
    </xf>
    <xf numFmtId="0" fontId="0" fillId="0" borderId="8" xfId="0" applyBorder="1" applyProtection="1"/>
    <xf numFmtId="0" fontId="3" fillId="0" borderId="11" xfId="0" applyFont="1" applyBorder="1" applyProtection="1"/>
    <xf numFmtId="10" fontId="0" fillId="0" borderId="12" xfId="0" applyNumberFormat="1" applyFill="1" applyBorder="1" applyProtection="1"/>
    <xf numFmtId="0" fontId="4" fillId="0" borderId="3" xfId="0" applyFont="1" applyBorder="1" applyProtection="1"/>
    <xf numFmtId="44" fontId="0" fillId="0" borderId="4" xfId="2" applyFont="1" applyFill="1" applyBorder="1" applyProtection="1"/>
    <xf numFmtId="0" fontId="4" fillId="0" borderId="0" xfId="0" applyFont="1" applyBorder="1" applyProtection="1"/>
    <xf numFmtId="0" fontId="8" fillId="0" borderId="0" xfId="0" applyFont="1" applyProtection="1"/>
    <xf numFmtId="0" fontId="4" fillId="0" borderId="8" xfId="0" applyFont="1" applyBorder="1" applyProtection="1"/>
    <xf numFmtId="0" fontId="0" fillId="0" borderId="12" xfId="0" applyFill="1" applyBorder="1" applyProtection="1"/>
    <xf numFmtId="44" fontId="0" fillId="0" borderId="0" xfId="0" applyNumberFormat="1" applyBorder="1" applyProtection="1"/>
    <xf numFmtId="10" fontId="2" fillId="0" borderId="0" xfId="0" applyNumberFormat="1" applyFont="1" applyFill="1" applyBorder="1" applyProtection="1"/>
    <xf numFmtId="44" fontId="0" fillId="0" borderId="0" xfId="2" applyFont="1" applyFill="1" applyBorder="1" applyProtection="1"/>
    <xf numFmtId="10" fontId="0" fillId="0" borderId="4" xfId="0" applyNumberFormat="1" applyFill="1" applyBorder="1" applyProtection="1"/>
    <xf numFmtId="0" fontId="0" fillId="0" borderId="14" xfId="0" applyBorder="1" applyProtection="1"/>
    <xf numFmtId="0" fontId="0" fillId="0" borderId="15" xfId="0" applyFill="1" applyBorder="1" applyProtection="1"/>
    <xf numFmtId="165" fontId="0" fillId="0" borderId="0" xfId="0" applyNumberFormat="1" applyBorder="1" applyProtection="1"/>
    <xf numFmtId="0" fontId="0" fillId="0" borderId="8" xfId="0" applyFill="1" applyBorder="1" applyProtection="1"/>
    <xf numFmtId="165" fontId="0" fillId="0" borderId="0" xfId="0" applyNumberFormat="1" applyProtection="1"/>
    <xf numFmtId="44" fontId="0" fillId="0" borderId="0" xfId="2" applyNumberFormat="1" applyFont="1" applyFill="1" applyBorder="1" applyProtection="1"/>
    <xf numFmtId="43" fontId="0" fillId="0" borderId="0" xfId="1" applyFont="1" applyFill="1" applyBorder="1" applyProtection="1"/>
    <xf numFmtId="169" fontId="0" fillId="0" borderId="0" xfId="2" applyNumberFormat="1" applyFont="1" applyFill="1" applyBorder="1" applyProtection="1"/>
    <xf numFmtId="165" fontId="0" fillId="0" borderId="0" xfId="0" applyNumberFormat="1" applyFill="1" applyProtection="1"/>
    <xf numFmtId="43" fontId="0" fillId="0" borderId="4" xfId="1" applyFont="1" applyFill="1" applyBorder="1" applyProtection="1"/>
    <xf numFmtId="7" fontId="4" fillId="0" borderId="0" xfId="1" applyNumberFormat="1" applyFont="1" applyFill="1" applyBorder="1" applyProtection="1"/>
    <xf numFmtId="0" fontId="4" fillId="0" borderId="8" xfId="0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69" fontId="4" fillId="0" borderId="0" xfId="2" applyNumberFormat="1" applyFont="1" applyFill="1" applyBorder="1" applyProtection="1"/>
    <xf numFmtId="5" fontId="4" fillId="0" borderId="0" xfId="0" applyNumberFormat="1" applyFont="1" applyFill="1" applyBorder="1" applyProtection="1"/>
    <xf numFmtId="7" fontId="4" fillId="0" borderId="0" xfId="0" applyNumberFormat="1" applyFont="1" applyFill="1" applyBorder="1" applyProtection="1"/>
    <xf numFmtId="169" fontId="0" fillId="0" borderId="4" xfId="2" applyNumberFormat="1" applyFont="1" applyBorder="1" applyProtection="1"/>
    <xf numFmtId="0" fontId="2" fillId="0" borderId="0" xfId="0" applyFont="1" applyProtection="1"/>
    <xf numFmtId="6" fontId="0" fillId="0" borderId="0" xfId="0" applyNumberFormat="1" applyProtection="1"/>
    <xf numFmtId="0" fontId="3" fillId="0" borderId="0" xfId="0" applyFont="1" applyAlignment="1" applyProtection="1">
      <alignment horizontal="center"/>
    </xf>
    <xf numFmtId="8" fontId="3" fillId="0" borderId="0" xfId="0" applyNumberFormat="1" applyFont="1" applyAlignment="1" applyProtection="1">
      <alignment horizontal="center"/>
    </xf>
    <xf numFmtId="8" fontId="3" fillId="0" borderId="0" xfId="0" applyNumberFormat="1" applyFont="1" applyFill="1" applyBorder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2" fillId="0" borderId="0" xfId="0" applyNumberFormat="1" applyFont="1" applyProtection="1"/>
    <xf numFmtId="0" fontId="0" fillId="0" borderId="0" xfId="0" applyNumberFormat="1" applyProtection="1"/>
    <xf numFmtId="169" fontId="2" fillId="0" borderId="0" xfId="2" applyNumberFormat="1" applyFont="1" applyFill="1" applyBorder="1" applyProtection="1"/>
    <xf numFmtId="38" fontId="0" fillId="0" borderId="0" xfId="0" applyNumberFormat="1" applyProtection="1"/>
    <xf numFmtId="0" fontId="2" fillId="0" borderId="3" xfId="0" applyFont="1" applyFill="1" applyBorder="1" applyProtection="1"/>
    <xf numFmtId="44" fontId="2" fillId="0" borderId="4" xfId="2" applyFont="1" applyFill="1" applyBorder="1" applyProtection="1"/>
    <xf numFmtId="44" fontId="2" fillId="0" borderId="0" xfId="2" applyNumberFormat="1" applyFont="1" applyFill="1" applyBorder="1" applyProtection="1"/>
    <xf numFmtId="169" fontId="0" fillId="0" borderId="15" xfId="2" applyNumberFormat="1" applyFont="1" applyBorder="1" applyProtection="1"/>
    <xf numFmtId="0" fontId="2" fillId="0" borderId="8" xfId="0" applyFont="1" applyFill="1" applyBorder="1" applyProtection="1"/>
    <xf numFmtId="8" fontId="0" fillId="0" borderId="0" xfId="0" applyNumberFormat="1" applyProtection="1"/>
    <xf numFmtId="0" fontId="0" fillId="0" borderId="0" xfId="0" quotePrefix="1" applyFill="1" applyAlignment="1" applyProtection="1">
      <alignment horizontal="center"/>
    </xf>
    <xf numFmtId="9" fontId="0" fillId="0" borderId="0" xfId="4" applyFont="1" applyFill="1" applyBorder="1" applyProtection="1"/>
    <xf numFmtId="0" fontId="2" fillId="0" borderId="0" xfId="0" applyFont="1" applyFill="1" applyAlignment="1" applyProtection="1">
      <alignment horizontal="right"/>
    </xf>
    <xf numFmtId="9" fontId="0" fillId="0" borderId="0" xfId="4" quotePrefix="1" applyFont="1" applyFill="1" applyBorder="1" applyAlignment="1" applyProtection="1">
      <alignment horizontal="right"/>
    </xf>
    <xf numFmtId="0" fontId="3" fillId="0" borderId="0" xfId="0" applyNumberFormat="1" applyFont="1" applyAlignment="1" applyProtection="1">
      <alignment horizontal="center"/>
    </xf>
    <xf numFmtId="10" fontId="0" fillId="0" borderId="0" xfId="0" applyNumberFormat="1" applyFill="1" applyProtection="1"/>
    <xf numFmtId="6" fontId="0" fillId="0" borderId="0" xfId="0" applyNumberFormat="1" applyFill="1" applyProtection="1"/>
    <xf numFmtId="8" fontId="0" fillId="0" borderId="0" xfId="0" applyNumberFormat="1" applyFill="1" applyProtection="1"/>
    <xf numFmtId="0" fontId="0" fillId="0" borderId="0" xfId="0" quotePrefix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6" fontId="2" fillId="0" borderId="0" xfId="0" applyNumberFormat="1" applyFont="1" applyProtection="1"/>
    <xf numFmtId="169" fontId="0" fillId="0" borderId="0" xfId="2" applyNumberFormat="1" applyFont="1" applyProtection="1"/>
    <xf numFmtId="0" fontId="4" fillId="0" borderId="0" xfId="0" applyFont="1" applyBorder="1" applyAlignment="1" applyProtection="1"/>
    <xf numFmtId="0" fontId="2" fillId="0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6" fontId="4" fillId="0" borderId="0" xfId="0" applyNumberFormat="1" applyFont="1" applyFill="1" applyProtection="1"/>
    <xf numFmtId="6" fontId="2" fillId="0" borderId="0" xfId="0" applyNumberFormat="1" applyFont="1" applyFill="1" applyProtection="1"/>
    <xf numFmtId="44" fontId="2" fillId="0" borderId="0" xfId="2" applyFont="1" applyProtection="1"/>
    <xf numFmtId="0" fontId="4" fillId="0" borderId="0" xfId="0" applyFont="1" applyAlignment="1" applyProtection="1">
      <alignment horizontal="center"/>
    </xf>
    <xf numFmtId="6" fontId="4" fillId="0" borderId="0" xfId="0" applyNumberFormat="1" applyFont="1" applyProtection="1"/>
    <xf numFmtId="0" fontId="4" fillId="0" borderId="0" xfId="0" applyFont="1" applyProtection="1"/>
    <xf numFmtId="44" fontId="0" fillId="0" borderId="0" xfId="0" applyNumberFormat="1" applyFill="1" applyProtection="1"/>
    <xf numFmtId="6" fontId="2" fillId="0" borderId="0" xfId="0" applyNumberFormat="1" applyFont="1" applyAlignment="1" applyProtection="1">
      <alignment horizontal="center"/>
    </xf>
    <xf numFmtId="9" fontId="4" fillId="0" borderId="0" xfId="0" applyNumberFormat="1" applyFont="1" applyFill="1" applyProtection="1"/>
    <xf numFmtId="10" fontId="4" fillId="0" borderId="0" xfId="0" applyNumberFormat="1" applyFont="1" applyBorder="1" applyAlignment="1" applyProtection="1">
      <alignment horizontal="center" vertical="top" wrapText="1"/>
    </xf>
    <xf numFmtId="10" fontId="4" fillId="0" borderId="0" xfId="0" applyNumberFormat="1" applyFont="1" applyAlignment="1" applyProtection="1">
      <alignment horizontal="center" vertical="top" wrapText="1"/>
    </xf>
    <xf numFmtId="10" fontId="6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 applyAlignment="1" applyProtection="1"/>
    <xf numFmtId="0" fontId="12" fillId="0" borderId="0" xfId="3" applyFont="1" applyBorder="1" applyAlignment="1" applyProtection="1"/>
    <xf numFmtId="9" fontId="2" fillId="0" borderId="0" xfId="0" applyNumberFormat="1" applyFont="1" applyProtection="1"/>
    <xf numFmtId="169" fontId="2" fillId="0" borderId="0" xfId="2" applyNumberFormat="1" applyFont="1" applyProtection="1"/>
    <xf numFmtId="182" fontId="2" fillId="0" borderId="0" xfId="1" applyNumberFormat="1" applyFont="1" applyProtection="1"/>
    <xf numFmtId="182" fontId="0" fillId="0" borderId="0" xfId="1" applyNumberFormat="1" applyFont="1" applyProtection="1"/>
    <xf numFmtId="169" fontId="2" fillId="0" borderId="0" xfId="2" applyNumberFormat="1" applyFont="1" applyAlignment="1" applyProtection="1">
      <alignment horizontal="center"/>
    </xf>
    <xf numFmtId="10" fontId="0" fillId="0" borderId="16" xfId="0" applyNumberFormat="1" applyBorder="1" applyProtection="1"/>
    <xf numFmtId="10" fontId="0" fillId="0" borderId="0" xfId="4" applyNumberFormat="1" applyFont="1" applyProtection="1"/>
    <xf numFmtId="0" fontId="2" fillId="0" borderId="0" xfId="0" quotePrefix="1" applyFont="1" applyFill="1" applyBorder="1" applyProtection="1"/>
    <xf numFmtId="0" fontId="4" fillId="0" borderId="0" xfId="0" applyFont="1" applyFill="1" applyBorder="1" applyProtection="1"/>
    <xf numFmtId="0" fontId="0" fillId="0" borderId="11" xfId="0" applyBorder="1" applyProtection="1"/>
    <xf numFmtId="44" fontId="0" fillId="0" borderId="0" xfId="2" applyFont="1" applyFill="1" applyBorder="1" applyProtection="1">
      <protection locked="0"/>
    </xf>
    <xf numFmtId="10" fontId="0" fillId="0" borderId="0" xfId="4" applyNumberFormat="1" applyFont="1" applyFill="1" applyBorder="1" applyProtection="1">
      <protection locked="0"/>
    </xf>
    <xf numFmtId="174" fontId="0" fillId="0" borderId="16" xfId="0" applyNumberFormat="1" applyBorder="1" applyProtection="1"/>
    <xf numFmtId="0" fontId="0" fillId="0" borderId="17" xfId="0" applyBorder="1" applyProtection="1"/>
    <xf numFmtId="169" fontId="0" fillId="0" borderId="0" xfId="2" applyNumberFormat="1" applyFont="1" applyBorder="1" applyProtection="1"/>
    <xf numFmtId="0" fontId="0" fillId="0" borderId="1" xfId="0" applyBorder="1" applyProtection="1"/>
    <xf numFmtId="169" fontId="0" fillId="0" borderId="1" xfId="2" applyNumberFormat="1" applyFont="1" applyBorder="1" applyProtection="1"/>
    <xf numFmtId="0" fontId="4" fillId="0" borderId="1" xfId="0" applyFont="1" applyBorder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6" fontId="16" fillId="0" borderId="0" xfId="0" applyNumberFormat="1" applyFont="1"/>
    <xf numFmtId="6" fontId="17" fillId="0" borderId="0" xfId="0" applyNumberFormat="1" applyFont="1"/>
    <xf numFmtId="169" fontId="16" fillId="0" borderId="0" xfId="2" applyNumberFormat="1" applyFont="1"/>
    <xf numFmtId="0" fontId="16" fillId="0" borderId="0" xfId="0" applyFont="1" applyAlignment="1">
      <alignment horizontal="center"/>
    </xf>
    <xf numFmtId="169" fontId="16" fillId="0" borderId="0" xfId="0" applyNumberFormat="1" applyFont="1"/>
    <xf numFmtId="0" fontId="11" fillId="0" borderId="0" xfId="3" applyFill="1" applyBorder="1" applyAlignment="1" applyProtection="1"/>
    <xf numFmtId="2" fontId="0" fillId="0" borderId="0" xfId="0" applyNumberFormat="1" applyProtection="1"/>
    <xf numFmtId="41" fontId="0" fillId="0" borderId="0" xfId="1" applyNumberFormat="1" applyFont="1" applyProtection="1"/>
    <xf numFmtId="42" fontId="0" fillId="0" borderId="0" xfId="2" applyNumberFormat="1" applyFont="1" applyProtection="1"/>
    <xf numFmtId="42" fontId="0" fillId="0" borderId="0" xfId="2" applyNumberFormat="1" applyFont="1"/>
    <xf numFmtId="5" fontId="0" fillId="0" borderId="0" xfId="2" applyNumberFormat="1" applyFont="1"/>
    <xf numFmtId="5" fontId="2" fillId="0" borderId="0" xfId="0" applyNumberFormat="1" applyFont="1"/>
    <xf numFmtId="0" fontId="0" fillId="3" borderId="0" xfId="0" applyFill="1" applyBorder="1"/>
    <xf numFmtId="0" fontId="13" fillId="4" borderId="18" xfId="3" applyFont="1" applyFill="1" applyBorder="1" applyAlignment="1" applyProtection="1"/>
    <xf numFmtId="0" fontId="13" fillId="4" borderId="5" xfId="3" applyFont="1" applyFill="1" applyBorder="1" applyAlignment="1" applyProtection="1"/>
    <xf numFmtId="0" fontId="13" fillId="4" borderId="19" xfId="3" applyFont="1" applyFill="1" applyBorder="1" applyAlignment="1" applyProtection="1"/>
    <xf numFmtId="10" fontId="0" fillId="3" borderId="4" xfId="0" applyNumberFormat="1" applyFill="1" applyBorder="1" applyProtection="1">
      <protection locked="0"/>
    </xf>
    <xf numFmtId="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9" fontId="0" fillId="3" borderId="15" xfId="0" applyNumberFormat="1" applyFill="1" applyBorder="1" applyProtection="1">
      <protection locked="0"/>
    </xf>
    <xf numFmtId="10" fontId="0" fillId="3" borderId="15" xfId="0" applyNumberFormat="1" applyFill="1" applyBorder="1" applyProtection="1">
      <protection locked="0"/>
    </xf>
    <xf numFmtId="44" fontId="0" fillId="3" borderId="4" xfId="2" applyFont="1" applyFill="1" applyBorder="1" applyProtection="1">
      <protection locked="0"/>
    </xf>
    <xf numFmtId="43" fontId="0" fillId="3" borderId="4" xfId="1" applyFont="1" applyFill="1" applyBorder="1" applyProtection="1">
      <protection locked="0"/>
    </xf>
    <xf numFmtId="169" fontId="0" fillId="3" borderId="4" xfId="2" applyNumberFormat="1" applyFont="1" applyFill="1" applyBorder="1" applyProtection="1">
      <protection locked="0"/>
    </xf>
    <xf numFmtId="9" fontId="0" fillId="3" borderId="4" xfId="4" applyFont="1" applyFill="1" applyBorder="1" applyProtection="1">
      <protection locked="0"/>
    </xf>
    <xf numFmtId="0" fontId="0" fillId="5" borderId="0" xfId="0" applyFill="1" applyBorder="1" applyProtection="1"/>
    <xf numFmtId="0" fontId="12" fillId="4" borderId="5" xfId="3" applyFont="1" applyFill="1" applyBorder="1" applyAlignment="1" applyProtection="1">
      <alignment horizontal="left"/>
    </xf>
    <xf numFmtId="0" fontId="12" fillId="4" borderId="19" xfId="3" applyFont="1" applyFill="1" applyBorder="1" applyAlignment="1" applyProtection="1">
      <alignment horizontal="left"/>
    </xf>
    <xf numFmtId="0" fontId="13" fillId="4" borderId="7" xfId="3" applyFont="1" applyFill="1" applyBorder="1" applyAlignment="1" applyProtection="1">
      <alignment horizontal="left"/>
    </xf>
    <xf numFmtId="0" fontId="0" fillId="4" borderId="6" xfId="0" applyFill="1" applyBorder="1"/>
    <xf numFmtId="0" fontId="13" fillId="4" borderId="8" xfId="3" applyFont="1" applyFill="1" applyBorder="1" applyAlignment="1" applyProtection="1">
      <alignment horizontal="left"/>
    </xf>
    <xf numFmtId="0" fontId="0" fillId="4" borderId="15" xfId="0" applyFill="1" applyBorder="1"/>
    <xf numFmtId="0" fontId="13" fillId="4" borderId="5" xfId="3" applyFont="1" applyFill="1" applyBorder="1" applyAlignment="1" applyProtection="1">
      <alignment horizontal="left"/>
    </xf>
    <xf numFmtId="0" fontId="13" fillId="4" borderId="19" xfId="3" applyFont="1" applyFill="1" applyBorder="1" applyAlignment="1" applyProtection="1">
      <alignment horizontal="left"/>
    </xf>
    <xf numFmtId="6" fontId="0" fillId="3" borderId="0" xfId="0" applyNumberFormat="1" applyFill="1" applyProtection="1">
      <protection locked="0"/>
    </xf>
    <xf numFmtId="6" fontId="4" fillId="3" borderId="0" xfId="0" applyNumberFormat="1" applyFont="1" applyFill="1" applyProtection="1">
      <protection locked="0"/>
    </xf>
    <xf numFmtId="44" fontId="0" fillId="3" borderId="0" xfId="2" applyFont="1" applyFill="1" applyProtection="1">
      <protection locked="0"/>
    </xf>
    <xf numFmtId="0" fontId="13" fillId="4" borderId="18" xfId="3" applyFont="1" applyFill="1" applyBorder="1" applyAlignment="1" applyProtection="1">
      <alignment horizontal="left"/>
    </xf>
    <xf numFmtId="10" fontId="2" fillId="3" borderId="0" xfId="0" applyNumberFormat="1" applyFont="1" applyFill="1" applyProtection="1">
      <protection locked="0"/>
    </xf>
    <xf numFmtId="44" fontId="0" fillId="3" borderId="0" xfId="2" applyFont="1" applyFill="1" applyBorder="1" applyProtection="1">
      <protection locked="0"/>
    </xf>
    <xf numFmtId="44" fontId="0" fillId="3" borderId="14" xfId="2" applyFont="1" applyFill="1" applyBorder="1" applyProtection="1">
      <protection locked="0"/>
    </xf>
    <xf numFmtId="6" fontId="0" fillId="0" borderId="20" xfId="0" applyNumberFormat="1" applyFill="1" applyBorder="1" applyProtection="1"/>
    <xf numFmtId="0" fontId="2" fillId="0" borderId="0" xfId="0" applyFont="1" applyFill="1" applyBorder="1" applyProtection="1">
      <protection locked="0"/>
    </xf>
    <xf numFmtId="6" fontId="0" fillId="0" borderId="0" xfId="0" applyNumberFormat="1" applyFill="1" applyBorder="1" applyProtection="1">
      <protection locked="0"/>
    </xf>
    <xf numFmtId="9" fontId="0" fillId="0" borderId="0" xfId="4" applyFont="1" applyFill="1" applyBorder="1" applyProtection="1">
      <protection locked="0"/>
    </xf>
    <xf numFmtId="8" fontId="0" fillId="0" borderId="0" xfId="0" applyNumberFormat="1" applyFill="1" applyBorder="1" applyProtection="1"/>
    <xf numFmtId="0" fontId="0" fillId="0" borderId="1" xfId="0" applyFill="1" applyBorder="1" applyProtection="1"/>
    <xf numFmtId="0" fontId="3" fillId="0" borderId="21" xfId="0" applyFont="1" applyBorder="1" applyAlignment="1" applyProtection="1">
      <alignment horizontal="center"/>
    </xf>
    <xf numFmtId="8" fontId="3" fillId="0" borderId="20" xfId="0" applyNumberFormat="1" applyFont="1" applyBorder="1" applyAlignment="1" applyProtection="1">
      <alignment horizontal="center"/>
    </xf>
    <xf numFmtId="8" fontId="3" fillId="0" borderId="22" xfId="0" applyNumberFormat="1" applyFont="1" applyBorder="1" applyAlignment="1" applyProtection="1">
      <alignment horizontal="center"/>
    </xf>
    <xf numFmtId="0" fontId="0" fillId="0" borderId="23" xfId="0" applyBorder="1" applyProtection="1"/>
    <xf numFmtId="8" fontId="0" fillId="0" borderId="0" xfId="0" applyNumberFormat="1" applyBorder="1" applyProtection="1"/>
    <xf numFmtId="0" fontId="0" fillId="0" borderId="24" xfId="0" applyBorder="1" applyProtection="1"/>
    <xf numFmtId="6" fontId="0" fillId="3" borderId="0" xfId="0" applyNumberFormat="1" applyFill="1" applyBorder="1" applyProtection="1">
      <protection locked="0"/>
    </xf>
    <xf numFmtId="6" fontId="0" fillId="0" borderId="0" xfId="0" applyNumberFormat="1" applyBorder="1" applyProtection="1"/>
    <xf numFmtId="9" fontId="0" fillId="3" borderId="0" xfId="4" applyFont="1" applyFill="1" applyBorder="1" applyProtection="1">
      <protection locked="0"/>
    </xf>
    <xf numFmtId="6" fontId="0" fillId="0" borderId="24" xfId="0" applyNumberFormat="1" applyBorder="1" applyProtection="1"/>
    <xf numFmtId="0" fontId="0" fillId="0" borderId="23" xfId="0" applyBorder="1" applyProtection="1">
      <protection locked="0"/>
    </xf>
    <xf numFmtId="6" fontId="0" fillId="0" borderId="24" xfId="0" applyNumberFormat="1" applyFill="1" applyBorder="1" applyProtection="1"/>
    <xf numFmtId="6" fontId="0" fillId="0" borderId="1" xfId="0" applyNumberFormat="1" applyFill="1" applyBorder="1" applyProtection="1">
      <protection locked="0"/>
    </xf>
    <xf numFmtId="6" fontId="0" fillId="0" borderId="1" xfId="0" applyNumberFormat="1" applyFill="1" applyBorder="1" applyProtection="1"/>
    <xf numFmtId="9" fontId="0" fillId="0" borderId="1" xfId="4" applyFont="1" applyFill="1" applyBorder="1" applyProtection="1">
      <protection locked="0"/>
    </xf>
    <xf numFmtId="6" fontId="0" fillId="0" borderId="25" xfId="0" applyNumberFormat="1" applyFill="1" applyBorder="1" applyProtection="1"/>
    <xf numFmtId="0" fontId="0" fillId="0" borderId="23" xfId="0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6" fontId="0" fillId="0" borderId="20" xfId="0" applyNumberFormat="1" applyFill="1" applyBorder="1" applyProtection="1">
      <protection locked="0"/>
    </xf>
    <xf numFmtId="9" fontId="0" fillId="0" borderId="20" xfId="4" applyFont="1" applyFill="1" applyBorder="1" applyProtection="1">
      <protection locked="0"/>
    </xf>
    <xf numFmtId="6" fontId="0" fillId="0" borderId="22" xfId="0" applyNumberFormat="1" applyFill="1" applyBorder="1" applyProtection="1"/>
    <xf numFmtId="0" fontId="2" fillId="0" borderId="26" xfId="0" applyFont="1" applyFill="1" applyBorder="1" applyProtection="1">
      <protection locked="0"/>
    </xf>
    <xf numFmtId="8" fontId="3" fillId="0" borderId="20" xfId="0" applyNumberFormat="1" applyFont="1" applyBorder="1" applyAlignment="1" applyProtection="1"/>
    <xf numFmtId="0" fontId="0" fillId="0" borderId="0" xfId="0" applyAlignment="1" applyProtection="1"/>
    <xf numFmtId="0" fontId="3" fillId="0" borderId="21" xfId="0" applyFont="1" applyFill="1" applyBorder="1" applyAlignment="1" applyProtection="1"/>
    <xf numFmtId="0" fontId="3" fillId="0" borderId="20" xfId="0" applyFont="1" applyBorder="1" applyAlignment="1" applyProtection="1"/>
    <xf numFmtId="0" fontId="3" fillId="0" borderId="22" xfId="0" applyFont="1" applyBorder="1" applyAlignment="1" applyProtection="1"/>
    <xf numFmtId="0" fontId="0" fillId="0" borderId="26" xfId="0" applyBorder="1" applyProtection="1"/>
    <xf numFmtId="8" fontId="0" fillId="0" borderId="1" xfId="0" applyNumberFormat="1" applyBorder="1" applyProtection="1"/>
    <xf numFmtId="8" fontId="0" fillId="0" borderId="27" xfId="0" applyNumberFormat="1" applyBorder="1" applyProtection="1"/>
    <xf numFmtId="0" fontId="2" fillId="0" borderId="26" xfId="0" applyFont="1" applyBorder="1" applyProtection="1"/>
    <xf numFmtId="42" fontId="0" fillId="0" borderId="0" xfId="2" applyNumberFormat="1" applyFont="1" applyBorder="1"/>
    <xf numFmtId="44" fontId="0" fillId="0" borderId="0" xfId="0" applyNumberFormat="1" applyBorder="1"/>
    <xf numFmtId="0" fontId="0" fillId="0" borderId="0" xfId="0" applyAlignment="1" applyProtection="1">
      <alignment horizontal="right"/>
    </xf>
    <xf numFmtId="41" fontId="0" fillId="0" borderId="0" xfId="1" applyNumberFormat="1" applyFont="1" applyBorder="1"/>
    <xf numFmtId="44" fontId="0" fillId="0" borderId="4" xfId="2" applyFont="1" applyFill="1" applyBorder="1" applyProtection="1">
      <protection locked="0"/>
    </xf>
    <xf numFmtId="0" fontId="3" fillId="0" borderId="0" xfId="0" applyFont="1" applyBorder="1" applyProtection="1"/>
    <xf numFmtId="0" fontId="0" fillId="0" borderId="14" xfId="0" applyBorder="1"/>
    <xf numFmtId="44" fontId="0" fillId="0" borderId="0" xfId="2" applyFont="1" applyBorder="1" applyProtection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/>
    <xf numFmtId="0" fontId="2" fillId="0" borderId="28" xfId="0" applyFont="1" applyBorder="1" applyAlignment="1">
      <alignment horizontal="center"/>
    </xf>
    <xf numFmtId="0" fontId="14" fillId="4" borderId="18" xfId="3" applyFont="1" applyFill="1" applyBorder="1" applyAlignment="1" applyProtection="1">
      <alignment horizontal="center"/>
    </xf>
    <xf numFmtId="0" fontId="14" fillId="4" borderId="19" xfId="3" applyFont="1" applyFill="1" applyBorder="1" applyAlignment="1" applyProtection="1">
      <alignment horizontal="center"/>
    </xf>
    <xf numFmtId="0" fontId="2" fillId="0" borderId="28" xfId="0" applyFont="1" applyBorder="1"/>
    <xf numFmtId="0" fontId="14" fillId="4" borderId="18" xfId="3" applyFont="1" applyFill="1" applyBorder="1" applyAlignment="1" applyProtection="1"/>
    <xf numFmtId="0" fontId="14" fillId="4" borderId="19" xfId="3" applyFont="1" applyFill="1" applyBorder="1" applyAlignment="1" applyProtection="1"/>
    <xf numFmtId="0" fontId="4" fillId="0" borderId="23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0" borderId="27" xfId="0" applyBorder="1" applyProtection="1"/>
    <xf numFmtId="0" fontId="0" fillId="3" borderId="0" xfId="0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0" fillId="0" borderId="0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177" fontId="0" fillId="0" borderId="4" xfId="1" applyNumberFormat="1" applyFont="1" applyFill="1" applyBorder="1" applyProtection="1"/>
    <xf numFmtId="0" fontId="0" fillId="0" borderId="0" xfId="0" applyFill="1"/>
    <xf numFmtId="177" fontId="0" fillId="0" borderId="0" xfId="1" applyNumberFormat="1" applyFont="1" applyFill="1" applyBorder="1" applyProtection="1"/>
    <xf numFmtId="177" fontId="0" fillId="0" borderId="0" xfId="1" applyNumberFormat="1" applyFont="1" applyFill="1" applyBorder="1" applyProtection="1">
      <protection locked="0"/>
    </xf>
    <xf numFmtId="177" fontId="0" fillId="0" borderId="0" xfId="1" applyNumberFormat="1" applyFont="1" applyFill="1" applyBorder="1"/>
    <xf numFmtId="177" fontId="0" fillId="0" borderId="15" xfId="1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9" fontId="0" fillId="3" borderId="0" xfId="4" applyFont="1" applyFill="1" applyBorder="1" applyProtection="1"/>
    <xf numFmtId="9" fontId="0" fillId="3" borderId="1" xfId="4" applyFont="1" applyFill="1" applyBorder="1" applyProtection="1"/>
    <xf numFmtId="44" fontId="4" fillId="0" borderId="0" xfId="2" applyFont="1" applyAlignment="1">
      <alignment horizontal="right"/>
    </xf>
    <xf numFmtId="1" fontId="0" fillId="0" borderId="0" xfId="0" applyNumberFormat="1"/>
    <xf numFmtId="177" fontId="0" fillId="0" borderId="0" xfId="0" applyNumberFormat="1"/>
    <xf numFmtId="44" fontId="0" fillId="0" borderId="14" xfId="2" applyFont="1" applyBorder="1" applyAlignment="1">
      <alignment horizontal="center"/>
    </xf>
    <xf numFmtId="44" fontId="0" fillId="0" borderId="0" xfId="2" applyFont="1" applyBorder="1"/>
    <xf numFmtId="0" fontId="3" fillId="0" borderId="0" xfId="0" applyFont="1" applyBorder="1"/>
    <xf numFmtId="0" fontId="0" fillId="0" borderId="0" xfId="0" applyFill="1" applyBorder="1" applyAlignment="1" applyProtection="1">
      <alignment horizontal="center"/>
      <protection locked="0"/>
    </xf>
    <xf numFmtId="38" fontId="0" fillId="0" borderId="0" xfId="0" applyNumberFormat="1" applyFill="1" applyBorder="1" applyAlignment="1" applyProtection="1">
      <alignment horizontal="center"/>
    </xf>
    <xf numFmtId="38" fontId="0" fillId="0" borderId="12" xfId="0" applyNumberFormat="1" applyBorder="1"/>
    <xf numFmtId="0" fontId="4" fillId="0" borderId="3" xfId="0" applyFont="1" applyBorder="1"/>
    <xf numFmtId="165" fontId="0" fillId="0" borderId="0" xfId="0" applyNumberFormat="1" applyFill="1" applyBorder="1"/>
    <xf numFmtId="8" fontId="0" fillId="0" borderId="4" xfId="0" applyNumberFormat="1" applyFill="1" applyBorder="1"/>
    <xf numFmtId="6" fontId="0" fillId="0" borderId="0" xfId="0" applyNumberFormat="1" applyBorder="1"/>
    <xf numFmtId="0" fontId="2" fillId="0" borderId="3" xfId="0" applyFont="1" applyBorder="1"/>
    <xf numFmtId="44" fontId="0" fillId="0" borderId="15" xfId="2" applyFont="1" applyBorder="1" applyProtection="1"/>
    <xf numFmtId="0" fontId="4" fillId="0" borderId="23" xfId="0" applyFont="1" applyFill="1" applyBorder="1" applyProtection="1"/>
    <xf numFmtId="0" fontId="4" fillId="0" borderId="23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18" fillId="0" borderId="0" xfId="0" applyFont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7" xfId="0" applyFont="1" applyFill="1" applyBorder="1" applyProtection="1"/>
    <xf numFmtId="0" fontId="4" fillId="0" borderId="0" xfId="0" applyFont="1" applyFill="1" applyBorder="1"/>
    <xf numFmtId="177" fontId="0" fillId="0" borderId="0" xfId="1" applyNumberFormat="1" applyFont="1" applyBorder="1"/>
    <xf numFmtId="9" fontId="0" fillId="0" borderId="0" xfId="4" applyFont="1"/>
    <xf numFmtId="2" fontId="0" fillId="0" borderId="0" xfId="0" applyNumberFormat="1"/>
    <xf numFmtId="43" fontId="0" fillId="0" borderId="0" xfId="0" applyNumberFormat="1"/>
    <xf numFmtId="9" fontId="0" fillId="0" borderId="0" xfId="4" applyFont="1" applyBorder="1"/>
    <xf numFmtId="44" fontId="16" fillId="0" borderId="0" xfId="0" applyNumberFormat="1" applyFont="1"/>
    <xf numFmtId="0" fontId="4" fillId="0" borderId="0" xfId="0" applyFont="1" applyAlignment="1"/>
    <xf numFmtId="44" fontId="0" fillId="0" borderId="30" xfId="2" applyFont="1" applyBorder="1" applyProtection="1"/>
    <xf numFmtId="44" fontId="0" fillId="0" borderId="30" xfId="0" applyNumberFormat="1" applyBorder="1" applyProtection="1"/>
    <xf numFmtId="6" fontId="0" fillId="0" borderId="25" xfId="0" applyNumberFormat="1" applyBorder="1" applyProtection="1"/>
    <xf numFmtId="6" fontId="0" fillId="0" borderId="1" xfId="0" applyNumberFormat="1" applyBorder="1" applyProtection="1"/>
    <xf numFmtId="44" fontId="0" fillId="0" borderId="27" xfId="0" applyNumberFormat="1" applyBorder="1" applyProtection="1"/>
    <xf numFmtId="44" fontId="0" fillId="0" borderId="1" xfId="2" applyFont="1" applyBorder="1" applyProtection="1"/>
    <xf numFmtId="169" fontId="0" fillId="0" borderId="0" xfId="0" applyNumberFormat="1" applyProtection="1"/>
    <xf numFmtId="44" fontId="4" fillId="0" borderId="0" xfId="2" applyFont="1" applyFill="1" applyBorder="1" applyProtection="1"/>
    <xf numFmtId="43" fontId="0" fillId="0" borderId="1" xfId="1" applyFont="1" applyBorder="1"/>
    <xf numFmtId="0" fontId="0" fillId="3" borderId="4" xfId="2" applyNumberFormat="1" applyFont="1" applyFill="1" applyBorder="1" applyProtection="1"/>
    <xf numFmtId="2" fontId="0" fillId="0" borderId="0" xfId="4" applyNumberFormat="1" applyFont="1"/>
    <xf numFmtId="2" fontId="0" fillId="0" borderId="0" xfId="0" applyNumberFormat="1" applyFill="1"/>
    <xf numFmtId="1" fontId="0" fillId="0" borderId="0" xfId="0" applyNumberFormat="1" applyFill="1"/>
    <xf numFmtId="8" fontId="0" fillId="0" borderId="0" xfId="2" applyNumberFormat="1" applyFont="1"/>
    <xf numFmtId="8" fontId="4" fillId="0" borderId="0" xfId="2" applyNumberFormat="1" applyFont="1"/>
    <xf numFmtId="0" fontId="4" fillId="0" borderId="3" xfId="0" applyFont="1" applyFill="1" applyBorder="1" applyProtection="1"/>
    <xf numFmtId="169" fontId="2" fillId="0" borderId="0" xfId="0" applyNumberFormat="1" applyFont="1" applyProtection="1"/>
    <xf numFmtId="42" fontId="16" fillId="0" borderId="0" xfId="2" applyNumberFormat="1" applyFont="1"/>
    <xf numFmtId="0" fontId="0" fillId="3" borderId="0" xfId="0" applyFill="1"/>
    <xf numFmtId="177" fontId="0" fillId="3" borderId="4" xfId="1" applyNumberFormat="1" applyFont="1" applyFill="1" applyBorder="1" applyProtection="1">
      <protection locked="0"/>
    </xf>
    <xf numFmtId="38" fontId="0" fillId="0" borderId="0" xfId="0" applyNumberFormat="1" applyBorder="1"/>
    <xf numFmtId="0" fontId="2" fillId="0" borderId="2" xfId="0" applyFont="1" applyBorder="1"/>
    <xf numFmtId="0" fontId="4" fillId="0" borderId="3" xfId="0" applyFont="1" applyFill="1" applyBorder="1"/>
    <xf numFmtId="9" fontId="0" fillId="3" borderId="15" xfId="4" applyFont="1" applyFill="1" applyBorder="1" applyAlignment="1" applyProtection="1">
      <alignment horizontal="center"/>
      <protection locked="0"/>
    </xf>
    <xf numFmtId="6" fontId="0" fillId="0" borderId="0" xfId="2" applyNumberFormat="1" applyFont="1" applyFill="1" applyBorder="1" applyProtection="1"/>
    <xf numFmtId="0" fontId="0" fillId="0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center"/>
    </xf>
    <xf numFmtId="44" fontId="0" fillId="0" borderId="0" xfId="2" applyFont="1" applyFill="1" applyBorder="1" applyAlignment="1" applyProtection="1">
      <alignment horizontal="center"/>
      <protection locked="0"/>
    </xf>
    <xf numFmtId="0" fontId="2" fillId="0" borderId="31" xfId="0" applyFont="1" applyBorder="1" applyProtection="1"/>
    <xf numFmtId="0" fontId="2" fillId="0" borderId="32" xfId="0" applyFont="1" applyBorder="1" applyProtection="1"/>
    <xf numFmtId="8" fontId="0" fillId="0" borderId="0" xfId="0" applyNumberFormat="1" applyFill="1" applyBorder="1"/>
    <xf numFmtId="8" fontId="0" fillId="0" borderId="0" xfId="0" applyNumberFormat="1" applyBorder="1"/>
    <xf numFmtId="8" fontId="0" fillId="0" borderId="0" xfId="2" applyNumberFormat="1" applyFont="1" applyBorder="1"/>
    <xf numFmtId="8" fontId="0" fillId="3" borderId="4" xfId="0" applyNumberFormat="1" applyFill="1" applyBorder="1" applyProtection="1">
      <protection locked="0"/>
    </xf>
    <xf numFmtId="8" fontId="0" fillId="3" borderId="4" xfId="2" applyNumberFormat="1" applyFont="1" applyFill="1" applyBorder="1" applyProtection="1">
      <protection locked="0"/>
    </xf>
    <xf numFmtId="8" fontId="0" fillId="3" borderId="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8" fontId="0" fillId="3" borderId="1" xfId="0" applyNumberFormat="1" applyFill="1" applyBorder="1" applyProtection="1">
      <protection locked="0"/>
    </xf>
    <xf numFmtId="9" fontId="0" fillId="3" borderId="1" xfId="4" applyFont="1" applyFill="1" applyBorder="1" applyProtection="1">
      <protection locked="0"/>
    </xf>
    <xf numFmtId="44" fontId="0" fillId="3" borderId="1" xfId="2" applyFont="1" applyFill="1" applyBorder="1" applyProtection="1">
      <protection locked="0"/>
    </xf>
    <xf numFmtId="0" fontId="0" fillId="3" borderId="0" xfId="0" applyFill="1" applyProtection="1">
      <protection locked="0"/>
    </xf>
    <xf numFmtId="9" fontId="0" fillId="3" borderId="0" xfId="4" applyFont="1" applyFill="1" applyProtection="1">
      <protection locked="0"/>
    </xf>
    <xf numFmtId="6" fontId="4" fillId="3" borderId="0" xfId="0" applyNumberFormat="1" applyFont="1" applyFill="1" applyBorder="1" applyAlignment="1" applyProtection="1">
      <alignment horizontal="center"/>
      <protection locked="0"/>
    </xf>
    <xf numFmtId="0" fontId="0" fillId="3" borderId="33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34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19" fillId="4" borderId="35" xfId="0" applyFont="1" applyFill="1" applyBorder="1" applyAlignment="1">
      <alignment horizontal="left"/>
    </xf>
    <xf numFmtId="0" fontId="13" fillId="4" borderId="35" xfId="3" applyFont="1" applyFill="1" applyBorder="1" applyAlignment="1" applyProtection="1">
      <alignment horizontal="center"/>
    </xf>
    <xf numFmtId="0" fontId="0" fillId="3" borderId="4" xfId="0" applyFill="1" applyBorder="1"/>
    <xf numFmtId="44" fontId="0" fillId="3" borderId="4" xfId="2" applyFont="1" applyFill="1" applyBorder="1"/>
    <xf numFmtId="0" fontId="0" fillId="3" borderId="4" xfId="2" applyNumberFormat="1" applyFont="1" applyFill="1" applyBorder="1"/>
    <xf numFmtId="1" fontId="0" fillId="0" borderId="0" xfId="0" applyNumberFormat="1" applyFill="1" applyBorder="1" applyAlignment="1" applyProtection="1">
      <alignment horizontal="left"/>
    </xf>
    <xf numFmtId="174" fontId="0" fillId="0" borderId="0" xfId="0" applyNumberFormat="1" applyFill="1" applyBorder="1" applyProtection="1">
      <protection locked="0"/>
    </xf>
    <xf numFmtId="9" fontId="2" fillId="0" borderId="0" xfId="0" applyNumberFormat="1" applyFont="1" applyFill="1" applyBorder="1" applyProtection="1"/>
    <xf numFmtId="44" fontId="2" fillId="0" borderId="0" xfId="2" applyFont="1" applyFill="1" applyBorder="1" applyProtection="1"/>
    <xf numFmtId="10" fontId="0" fillId="0" borderId="0" xfId="4" applyNumberFormat="1" applyFont="1" applyFill="1" applyBorder="1" applyAlignment="1" applyProtection="1">
      <alignment horizontal="center"/>
      <protection locked="0"/>
    </xf>
    <xf numFmtId="44" fontId="0" fillId="0" borderId="3" xfId="2" applyFont="1" applyFill="1" applyBorder="1" applyProtection="1"/>
    <xf numFmtId="44" fontId="4" fillId="0" borderId="8" xfId="2" applyFont="1" applyFill="1" applyBorder="1" applyProtection="1"/>
    <xf numFmtId="10" fontId="0" fillId="0" borderId="14" xfId="4" applyNumberFormat="1" applyFont="1" applyFill="1" applyBorder="1" applyProtection="1">
      <protection locked="0"/>
    </xf>
    <xf numFmtId="174" fontId="0" fillId="0" borderId="14" xfId="0" applyNumberFormat="1" applyFill="1" applyBorder="1" applyProtection="1">
      <protection locked="0"/>
    </xf>
    <xf numFmtId="44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174" fontId="0" fillId="0" borderId="0" xfId="0" applyNumberFormat="1" applyFill="1" applyBorder="1" applyProtection="1"/>
    <xf numFmtId="0" fontId="0" fillId="0" borderId="11" xfId="0" applyFill="1" applyBorder="1" applyProtection="1"/>
    <xf numFmtId="10" fontId="0" fillId="0" borderId="13" xfId="4" applyNumberFormat="1" applyFont="1" applyFill="1" applyBorder="1" applyProtection="1">
      <protection locked="0"/>
    </xf>
    <xf numFmtId="174" fontId="0" fillId="0" borderId="13" xfId="0" applyNumberFormat="1" applyFill="1" applyBorder="1" applyProtection="1">
      <protection locked="0"/>
    </xf>
    <xf numFmtId="9" fontId="0" fillId="0" borderId="3" xfId="4" applyFont="1" applyFill="1" applyBorder="1" applyProtection="1"/>
    <xf numFmtId="10" fontId="0" fillId="0" borderId="14" xfId="0" applyNumberFormat="1" applyBorder="1" applyProtection="1"/>
    <xf numFmtId="0" fontId="2" fillId="0" borderId="14" xfId="0" applyFont="1" applyBorder="1" applyProtection="1"/>
    <xf numFmtId="10" fontId="0" fillId="0" borderId="14" xfId="4" applyNumberFormat="1" applyFont="1" applyBorder="1" applyProtection="1"/>
    <xf numFmtId="10" fontId="0" fillId="0" borderId="0" xfId="4" applyNumberFormat="1" applyFont="1" applyBorder="1" applyProtection="1"/>
    <xf numFmtId="174" fontId="0" fillId="0" borderId="0" xfId="0" applyNumberFormat="1" applyFill="1" applyBorder="1" applyAlignment="1" applyProtection="1">
      <alignment horizontal="center"/>
    </xf>
    <xf numFmtId="10" fontId="0" fillId="0" borderId="0" xfId="4" applyNumberFormat="1" applyFont="1" applyFill="1" applyBorder="1" applyProtection="1"/>
    <xf numFmtId="10" fontId="4" fillId="0" borderId="0" xfId="0" applyNumberFormat="1" applyFont="1" applyFill="1" applyBorder="1" applyProtection="1"/>
    <xf numFmtId="0" fontId="0" fillId="0" borderId="13" xfId="0" applyFill="1" applyBorder="1" applyProtection="1"/>
    <xf numFmtId="10" fontId="0" fillId="0" borderId="14" xfId="4" applyNumberFormat="1" applyFont="1" applyFill="1" applyBorder="1" applyProtection="1"/>
    <xf numFmtId="44" fontId="0" fillId="0" borderId="21" xfId="2" applyFont="1" applyFill="1" applyBorder="1" applyProtection="1"/>
    <xf numFmtId="44" fontId="0" fillId="0" borderId="20" xfId="2" applyFont="1" applyFill="1" applyBorder="1" applyProtection="1">
      <protection locked="0"/>
    </xf>
    <xf numFmtId="10" fontId="0" fillId="0" borderId="20" xfId="4" applyNumberFormat="1" applyFont="1" applyFill="1" applyBorder="1" applyProtection="1">
      <protection locked="0"/>
    </xf>
    <xf numFmtId="174" fontId="0" fillId="0" borderId="20" xfId="0" applyNumberFormat="1" applyFill="1" applyBorder="1" applyProtection="1">
      <protection locked="0"/>
    </xf>
    <xf numFmtId="0" fontId="0" fillId="0" borderId="20" xfId="0" applyFill="1" applyBorder="1" applyProtection="1"/>
    <xf numFmtId="44" fontId="0" fillId="0" borderId="23" xfId="2" applyFont="1" applyFill="1" applyBorder="1" applyProtection="1"/>
    <xf numFmtId="44" fontId="0" fillId="0" borderId="26" xfId="2" applyFont="1" applyFill="1" applyBorder="1" applyProtection="1"/>
    <xf numFmtId="10" fontId="0" fillId="0" borderId="1" xfId="4" applyNumberFormat="1" applyFont="1" applyFill="1" applyBorder="1" applyProtection="1">
      <protection locked="0"/>
    </xf>
    <xf numFmtId="174" fontId="0" fillId="0" borderId="1" xfId="0" applyNumberFormat="1" applyFill="1" applyBorder="1" applyProtection="1">
      <protection locked="0"/>
    </xf>
    <xf numFmtId="10" fontId="0" fillId="0" borderId="1" xfId="0" applyNumberFormat="1" applyFill="1" applyBorder="1" applyProtection="1"/>
    <xf numFmtId="10" fontId="2" fillId="0" borderId="0" xfId="4" applyNumberFormat="1" applyFont="1" applyFill="1" applyBorder="1" applyProtection="1">
      <protection locked="0"/>
    </xf>
    <xf numFmtId="174" fontId="2" fillId="0" borderId="0" xfId="0" applyNumberFormat="1" applyFont="1" applyFill="1" applyBorder="1" applyProtection="1">
      <protection locked="0"/>
    </xf>
    <xf numFmtId="10" fontId="2" fillId="0" borderId="0" xfId="4" applyNumberFormat="1" applyFont="1" applyFill="1" applyBorder="1" applyProtection="1"/>
    <xf numFmtId="44" fontId="2" fillId="0" borderId="23" xfId="2" applyFont="1" applyFill="1" applyBorder="1" applyProtection="1"/>
    <xf numFmtId="10" fontId="0" fillId="0" borderId="0" xfId="4" applyNumberFormat="1" applyFont="1" applyFill="1" applyBorder="1" applyAlignment="1" applyProtection="1">
      <alignment horizontal="right"/>
    </xf>
    <xf numFmtId="10" fontId="2" fillId="0" borderId="0" xfId="4" applyNumberFormat="1" applyFont="1" applyFill="1" applyBorder="1" applyAlignment="1" applyProtection="1">
      <alignment horizontal="right"/>
    </xf>
    <xf numFmtId="10" fontId="0" fillId="0" borderId="14" xfId="4" applyNumberFormat="1" applyFont="1" applyFill="1" applyBorder="1" applyAlignment="1" applyProtection="1">
      <alignment horizontal="right"/>
    </xf>
    <xf numFmtId="167" fontId="4" fillId="0" borderId="23" xfId="4" applyNumberFormat="1" applyFont="1" applyFill="1" applyBorder="1" applyProtection="1"/>
    <xf numFmtId="167" fontId="2" fillId="0" borderId="23" xfId="4" applyNumberFormat="1" applyFont="1" applyFill="1" applyBorder="1" applyAlignment="1" applyProtection="1">
      <alignment horizontal="right"/>
    </xf>
    <xf numFmtId="167" fontId="4" fillId="0" borderId="26" xfId="4" applyNumberFormat="1" applyFont="1" applyFill="1" applyBorder="1" applyProtection="1"/>
    <xf numFmtId="169" fontId="0" fillId="0" borderId="1" xfId="2" applyNumberFormat="1" applyFont="1" applyFill="1" applyBorder="1" applyProtection="1"/>
    <xf numFmtId="10" fontId="0" fillId="0" borderId="1" xfId="4" applyNumberFormat="1" applyFont="1" applyFill="1" applyBorder="1" applyProtection="1"/>
    <xf numFmtId="0" fontId="2" fillId="0" borderId="0" xfId="0" applyFont="1" applyAlignment="1">
      <alignment horizontal="left"/>
    </xf>
    <xf numFmtId="8" fontId="4" fillId="0" borderId="0" xfId="0" applyNumberFormat="1" applyFont="1"/>
    <xf numFmtId="9" fontId="0" fillId="0" borderId="15" xfId="4" quotePrefix="1" applyFont="1" applyFill="1" applyBorder="1" applyAlignment="1" applyProtection="1">
      <alignment horizontal="right"/>
    </xf>
    <xf numFmtId="0" fontId="20" fillId="0" borderId="0" xfId="0" applyFont="1" applyProtection="1"/>
    <xf numFmtId="0" fontId="2" fillId="4" borderId="0" xfId="0" applyFont="1" applyFill="1" applyBorder="1" applyAlignment="1" applyProtection="1"/>
    <xf numFmtId="6" fontId="0" fillId="0" borderId="24" xfId="2" applyNumberFormat="1" applyFont="1" applyBorder="1" applyProtection="1"/>
    <xf numFmtId="44" fontId="2" fillId="0" borderId="0" xfId="0" applyNumberFormat="1" applyFont="1" applyProtection="1"/>
    <xf numFmtId="8" fontId="2" fillId="0" borderId="15" xfId="2" applyNumberFormat="1" applyFont="1" applyFill="1" applyBorder="1" applyProtection="1"/>
    <xf numFmtId="38" fontId="0" fillId="0" borderId="0" xfId="0" applyNumberFormat="1" applyAlignment="1" applyProtection="1"/>
    <xf numFmtId="169" fontId="0" fillId="0" borderId="27" xfId="0" applyNumberFormat="1" applyBorder="1" applyProtection="1"/>
    <xf numFmtId="44" fontId="0" fillId="3" borderId="15" xfId="2" applyFont="1" applyFill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10" fontId="0" fillId="0" borderId="0" xfId="0" applyNumberFormat="1" applyFill="1" applyBorder="1" applyAlignment="1" applyProtection="1">
      <alignment horizontal="left"/>
      <protection locked="0"/>
    </xf>
    <xf numFmtId="1" fontId="4" fillId="0" borderId="3" xfId="4" applyNumberFormat="1" applyFont="1" applyFill="1" applyBorder="1" applyProtection="1"/>
    <xf numFmtId="1" fontId="2" fillId="0" borderId="3" xfId="4" applyNumberFormat="1" applyFont="1" applyFill="1" applyBorder="1" applyProtection="1"/>
    <xf numFmtId="1" fontId="0" fillId="0" borderId="3" xfId="4" applyNumberFormat="1" applyFont="1" applyFill="1" applyBorder="1" applyProtection="1"/>
    <xf numFmtId="1" fontId="0" fillId="0" borderId="8" xfId="4" applyNumberFormat="1" applyFont="1" applyFill="1" applyBorder="1" applyProtection="1"/>
    <xf numFmtId="1" fontId="0" fillId="0" borderId="4" xfId="2" applyNumberFormat="1" applyFont="1" applyFill="1" applyBorder="1" applyAlignment="1" applyProtection="1">
      <alignment horizontal="center"/>
      <protection locked="0"/>
    </xf>
    <xf numFmtId="1" fontId="0" fillId="0" borderId="15" xfId="2" applyNumberFormat="1" applyFont="1" applyFill="1" applyBorder="1" applyAlignment="1" applyProtection="1">
      <alignment horizontal="center"/>
      <protection locked="0"/>
    </xf>
    <xf numFmtId="1" fontId="0" fillId="0" borderId="0" xfId="2" applyNumberFormat="1" applyFont="1" applyFill="1" applyBorder="1" applyAlignment="1" applyProtection="1">
      <alignment horizontal="center"/>
      <protection locked="0"/>
    </xf>
    <xf numFmtId="1" fontId="0" fillId="0" borderId="12" xfId="0" applyNumberFormat="1" applyFill="1" applyBorder="1" applyProtection="1"/>
    <xf numFmtId="1" fontId="2" fillId="0" borderId="4" xfId="2" applyNumberFormat="1" applyFont="1" applyFill="1" applyBorder="1" applyAlignment="1" applyProtection="1">
      <alignment horizontal="center"/>
      <protection locked="0"/>
    </xf>
    <xf numFmtId="167" fontId="0" fillId="0" borderId="23" xfId="2" applyNumberFormat="1" applyFont="1" applyBorder="1" applyProtection="1"/>
    <xf numFmtId="42" fontId="0" fillId="0" borderId="36" xfId="2" applyNumberFormat="1" applyFont="1" applyBorder="1" applyProtection="1"/>
    <xf numFmtId="42" fontId="0" fillId="0" borderId="0" xfId="0" applyNumberFormat="1" applyFill="1" applyBorder="1" applyAlignment="1" applyProtection="1">
      <alignment horizontal="center"/>
    </xf>
    <xf numFmtId="42" fontId="2" fillId="0" borderId="0" xfId="2" applyNumberFormat="1" applyFont="1" applyFill="1" applyBorder="1" applyProtection="1">
      <protection locked="0"/>
    </xf>
    <xf numFmtId="42" fontId="0" fillId="0" borderId="0" xfId="2" applyNumberFormat="1" applyFont="1" applyFill="1" applyBorder="1" applyProtection="1">
      <protection locked="0"/>
    </xf>
    <xf numFmtId="42" fontId="0" fillId="0" borderId="14" xfId="2" applyNumberFormat="1" applyFont="1" applyFill="1" applyBorder="1" applyProtection="1">
      <protection locked="0"/>
    </xf>
    <xf numFmtId="42" fontId="0" fillId="0" borderId="13" xfId="2" applyNumberFormat="1" applyFont="1" applyFill="1" applyBorder="1" applyProtection="1">
      <protection locked="0"/>
    </xf>
    <xf numFmtId="42" fontId="0" fillId="0" borderId="20" xfId="2" applyNumberFormat="1" applyFont="1" applyFill="1" applyBorder="1" applyProtection="1">
      <protection locked="0"/>
    </xf>
    <xf numFmtId="42" fontId="0" fillId="0" borderId="1" xfId="2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0" fillId="0" borderId="24" xfId="0" applyNumberFormat="1" applyFill="1" applyBorder="1" applyAlignment="1" applyProtection="1">
      <alignment horizontal="center"/>
      <protection locked="0"/>
    </xf>
    <xf numFmtId="3" fontId="0" fillId="0" borderId="25" xfId="0" applyNumberForma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right"/>
    </xf>
    <xf numFmtId="174" fontId="0" fillId="0" borderId="0" xfId="0" applyNumberFormat="1" applyFill="1" applyBorder="1" applyAlignment="1" applyProtection="1">
      <alignment horizontal="right"/>
    </xf>
    <xf numFmtId="0" fontId="0" fillId="6" borderId="0" xfId="0" applyFill="1" applyBorder="1"/>
    <xf numFmtId="44" fontId="0" fillId="0" borderId="14" xfId="2" applyFont="1" applyBorder="1"/>
    <xf numFmtId="44" fontId="0" fillId="6" borderId="0" xfId="2" applyFont="1" applyFill="1" applyBorder="1"/>
    <xf numFmtId="177" fontId="0" fillId="0" borderId="0" xfId="1" applyNumberFormat="1" applyFont="1"/>
    <xf numFmtId="177" fontId="0" fillId="0" borderId="14" xfId="1" applyNumberFormat="1" applyFont="1" applyBorder="1"/>
    <xf numFmtId="0" fontId="0" fillId="6" borderId="0" xfId="0" applyFill="1"/>
    <xf numFmtId="0" fontId="0" fillId="6" borderId="0" xfId="0" applyNumberFormat="1" applyFill="1"/>
    <xf numFmtId="43" fontId="0" fillId="6" borderId="0" xfId="1" applyNumberFormat="1" applyFont="1" applyFill="1"/>
    <xf numFmtId="178" fontId="0" fillId="0" borderId="0" xfId="0" applyNumberFormat="1"/>
    <xf numFmtId="44" fontId="0" fillId="6" borderId="0" xfId="0" applyNumberFormat="1" applyFill="1"/>
    <xf numFmtId="44" fontId="0" fillId="6" borderId="0" xfId="2" applyFont="1" applyFill="1"/>
    <xf numFmtId="6" fontId="0" fillId="0" borderId="0" xfId="2" applyNumberFormat="1" applyFont="1"/>
    <xf numFmtId="8" fontId="0" fillId="0" borderId="23" xfId="2" applyNumberFormat="1" applyFont="1" applyBorder="1" applyProtection="1"/>
    <xf numFmtId="167" fontId="0" fillId="3" borderId="4" xfId="0" applyNumberFormat="1" applyFill="1" applyBorder="1" applyProtection="1">
      <protection locked="0"/>
    </xf>
    <xf numFmtId="1" fontId="0" fillId="0" borderId="0" xfId="0" applyNumberFormat="1" applyFill="1" applyBorder="1" applyProtection="1"/>
    <xf numFmtId="1" fontId="0" fillId="0" borderId="0" xfId="0" applyNumberFormat="1" applyBorder="1" applyProtection="1"/>
    <xf numFmtId="38" fontId="0" fillId="0" borderId="0" xfId="0" applyNumberFormat="1" applyBorder="1" applyProtection="1"/>
    <xf numFmtId="9" fontId="0" fillId="3" borderId="0" xfId="4" applyNumberFormat="1" applyFont="1" applyFill="1" applyBorder="1" applyProtection="1">
      <protection locked="0"/>
    </xf>
    <xf numFmtId="164" fontId="0" fillId="0" borderId="0" xfId="2" applyNumberFormat="1" applyFont="1"/>
    <xf numFmtId="167" fontId="0" fillId="0" borderId="0" xfId="0" applyNumberFormat="1"/>
    <xf numFmtId="0" fontId="14" fillId="4" borderId="7" xfId="3" applyFont="1" applyFill="1" applyBorder="1" applyAlignment="1" applyProtection="1"/>
    <xf numFmtId="0" fontId="0" fillId="4" borderId="37" xfId="0" applyFill="1" applyBorder="1" applyAlignment="1" applyProtection="1"/>
    <xf numFmtId="0" fontId="0" fillId="4" borderId="6" xfId="0" applyFill="1" applyBorder="1" applyAlignment="1" applyProtection="1"/>
    <xf numFmtId="0" fontId="14" fillId="4" borderId="8" xfId="3" applyFont="1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2" fillId="0" borderId="7" xfId="0" applyFont="1" applyFill="1" applyBorder="1" applyAlignment="1" applyProtection="1"/>
    <xf numFmtId="0" fontId="0" fillId="0" borderId="37" xfId="0" applyBorder="1" applyAlignment="1" applyProtection="1"/>
    <xf numFmtId="0" fontId="0" fillId="0" borderId="6" xfId="0" applyBorder="1" applyAlignment="1" applyProtection="1"/>
    <xf numFmtId="0" fontId="2" fillId="5" borderId="7" xfId="0" applyFont="1" applyFill="1" applyBorder="1" applyAlignment="1" applyProtection="1"/>
    <xf numFmtId="0" fontId="0" fillId="5" borderId="37" xfId="0" applyFill="1" applyBorder="1" applyAlignment="1" applyProtection="1"/>
    <xf numFmtId="0" fontId="0" fillId="5" borderId="6" xfId="0" applyFill="1" applyBorder="1" applyAlignment="1" applyProtection="1"/>
    <xf numFmtId="0" fontId="2" fillId="0" borderId="7" xfId="0" applyFont="1" applyBorder="1" applyAlignment="1" applyProtection="1">
      <alignment horizontal="left"/>
    </xf>
    <xf numFmtId="0" fontId="2" fillId="0" borderId="37" xfId="0" applyFont="1" applyBorder="1" applyAlignment="1" applyProtection="1">
      <alignment horizontal="left"/>
    </xf>
    <xf numFmtId="0" fontId="2" fillId="0" borderId="6" xfId="0" applyFont="1" applyBorder="1" applyAlignment="1" applyProtection="1"/>
    <xf numFmtId="0" fontId="13" fillId="4" borderId="7" xfId="3" applyFont="1" applyFill="1" applyBorder="1" applyAlignment="1" applyProtection="1">
      <alignment horizontal="left"/>
    </xf>
    <xf numFmtId="0" fontId="13" fillId="4" borderId="37" xfId="3" applyFont="1" applyFill="1" applyBorder="1" applyAlignment="1" applyProtection="1">
      <alignment horizontal="left"/>
    </xf>
    <xf numFmtId="0" fontId="2" fillId="4" borderId="6" xfId="0" applyFont="1" applyFill="1" applyBorder="1" applyAlignment="1" applyProtection="1"/>
    <xf numFmtId="0" fontId="2" fillId="0" borderId="11" xfId="0" applyFont="1" applyBorder="1" applyAlignment="1" applyProtection="1">
      <alignment horizontal="left"/>
    </xf>
    <xf numFmtId="0" fontId="2" fillId="0" borderId="12" xfId="0" applyFont="1" applyBorder="1" applyAlignment="1" applyProtection="1"/>
    <xf numFmtId="0" fontId="13" fillId="4" borderId="8" xfId="3" applyFont="1" applyFill="1" applyBorder="1" applyAlignment="1" applyProtection="1">
      <alignment horizontal="left"/>
    </xf>
    <xf numFmtId="0" fontId="2" fillId="4" borderId="15" xfId="0" applyFont="1" applyFill="1" applyBorder="1" applyAlignment="1" applyProtection="1"/>
    <xf numFmtId="49" fontId="0" fillId="0" borderId="0" xfId="0" applyNumberFormat="1" applyAlignment="1"/>
    <xf numFmtId="0" fontId="0" fillId="0" borderId="0" xfId="0" applyAlignment="1"/>
    <xf numFmtId="0" fontId="2" fillId="0" borderId="6" xfId="0" applyFont="1" applyBorder="1" applyAlignment="1"/>
    <xf numFmtId="0" fontId="13" fillId="7" borderId="3" xfId="3" applyFont="1" applyFill="1" applyBorder="1" applyAlignment="1" applyProtection="1">
      <alignment horizontal="left"/>
    </xf>
    <xf numFmtId="0" fontId="2" fillId="0" borderId="4" xfId="0" applyFont="1" applyBorder="1" applyAlignment="1"/>
    <xf numFmtId="0" fontId="2" fillId="4" borderId="6" xfId="0" applyFont="1" applyFill="1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541020</xdr:colOff>
      <xdr:row>16</xdr:row>
      <xdr:rowOff>30480</xdr:rowOff>
    </xdr:from>
    <xdr:to>
      <xdr:col>7</xdr:col>
      <xdr:colOff>106680</xdr:colOff>
      <xdr:row>18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227320" y="3352800"/>
          <a:ext cx="13944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Cotton Ginning Costs and Returns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22860</xdr:colOff>
      <xdr:row>23</xdr:row>
      <xdr:rowOff>91440</xdr:rowOff>
    </xdr:from>
    <xdr:to>
      <xdr:col>6</xdr:col>
      <xdr:colOff>533400</xdr:colOff>
      <xdr:row>25</xdr:row>
      <xdr:rowOff>114300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09160" y="4632960"/>
          <a:ext cx="17297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How to Use This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Tem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plate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25</xdr:row>
          <xdr:rowOff>76200</xdr:rowOff>
        </xdr:from>
        <xdr:to>
          <xdr:col>6</xdr:col>
          <xdr:colOff>274320</xdr:colOff>
          <xdr:row>30</xdr:row>
          <xdr:rowOff>137160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18</xdr:row>
          <xdr:rowOff>45720</xdr:rowOff>
        </xdr:from>
        <xdr:to>
          <xdr:col>7</xdr:col>
          <xdr:colOff>182880</xdr:colOff>
          <xdr:row>23</xdr:row>
          <xdr:rowOff>106680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showGridLines="0" showRowColHeaders="0" topLeftCell="A7" workbookViewId="0">
      <selection activeCell="H27" sqref="H27"/>
    </sheetView>
  </sheetViews>
  <sheetFormatPr defaultRowHeight="13.2" x14ac:dyDescent="0.25"/>
  <cols>
    <col min="1" max="1" width="21.88671875" customWidth="1"/>
    <col min="2" max="2" width="13" customWidth="1"/>
    <col min="3" max="3" width="24.5546875" customWidth="1"/>
    <col min="11" max="12" width="9.6640625" bestFit="1" customWidth="1"/>
  </cols>
  <sheetData>
    <row r="1" spans="1:13" ht="17.399999999999999" x14ac:dyDescent="0.3">
      <c r="A1" s="23" t="s">
        <v>206</v>
      </c>
      <c r="B1" s="17"/>
      <c r="C1" s="17"/>
      <c r="D1" s="17"/>
      <c r="E1" s="17"/>
      <c r="F1" s="17"/>
      <c r="G1" s="17"/>
      <c r="H1" s="17"/>
      <c r="I1" s="17"/>
    </row>
    <row r="2" spans="1:13" ht="17.399999999999999" x14ac:dyDescent="0.3">
      <c r="A2" s="23"/>
      <c r="B2" s="17"/>
      <c r="C2" s="17"/>
      <c r="D2" s="17"/>
      <c r="E2" s="17"/>
      <c r="F2" s="17"/>
      <c r="G2" s="17"/>
      <c r="H2" s="17"/>
      <c r="I2" s="17"/>
    </row>
    <row r="3" spans="1:13" ht="17.399999999999999" x14ac:dyDescent="0.3">
      <c r="A3" s="23" t="s">
        <v>116</v>
      </c>
      <c r="B3" s="24" t="s">
        <v>117</v>
      </c>
      <c r="C3" s="17"/>
      <c r="D3" s="17"/>
      <c r="E3" s="17"/>
      <c r="F3" s="17"/>
      <c r="G3" s="17"/>
      <c r="H3" s="17"/>
      <c r="I3" s="17"/>
    </row>
    <row r="4" spans="1:13" ht="17.399999999999999" x14ac:dyDescent="0.3">
      <c r="A4" s="23" t="s">
        <v>114</v>
      </c>
      <c r="B4" s="24" t="s">
        <v>115</v>
      </c>
      <c r="C4" s="17"/>
      <c r="D4" s="17"/>
      <c r="E4" s="17"/>
      <c r="F4" s="17"/>
      <c r="G4" s="17"/>
      <c r="H4" s="17"/>
      <c r="I4" s="17"/>
    </row>
    <row r="5" spans="1:13" ht="17.399999999999999" x14ac:dyDescent="0.3">
      <c r="A5" s="23"/>
      <c r="B5" s="181"/>
      <c r="C5" s="17"/>
      <c r="D5" s="181"/>
      <c r="E5" s="17"/>
      <c r="F5" s="17"/>
      <c r="G5" s="17"/>
      <c r="H5" s="17"/>
      <c r="I5" s="17"/>
    </row>
    <row r="6" spans="1:13" ht="16.8" x14ac:dyDescent="0.3">
      <c r="A6" s="25" t="s">
        <v>198</v>
      </c>
      <c r="B6" s="17"/>
      <c r="C6" s="17"/>
      <c r="D6" s="17"/>
      <c r="E6" s="17"/>
      <c r="F6" s="17"/>
      <c r="G6" s="17"/>
      <c r="H6" s="17"/>
      <c r="I6" s="17"/>
    </row>
    <row r="7" spans="1:13" ht="16.8" x14ac:dyDescent="0.3">
      <c r="A7" s="25" t="s">
        <v>199</v>
      </c>
      <c r="D7" s="17"/>
      <c r="E7" s="17"/>
      <c r="F7" s="17"/>
      <c r="G7" s="17"/>
      <c r="H7" s="17"/>
      <c r="I7" s="17"/>
    </row>
    <row r="8" spans="1:13" ht="17.399999999999999" x14ac:dyDescent="0.3">
      <c r="A8" s="23"/>
      <c r="D8" s="17"/>
      <c r="E8" s="17"/>
      <c r="F8" s="17"/>
      <c r="G8" s="17"/>
      <c r="H8" s="17"/>
      <c r="I8" s="17"/>
      <c r="M8" s="4"/>
    </row>
    <row r="9" spans="1:13" ht="16.8" x14ac:dyDescent="0.3">
      <c r="A9" s="25" t="s">
        <v>207</v>
      </c>
      <c r="B9" s="17"/>
      <c r="C9" s="188"/>
      <c r="D9" s="17"/>
      <c r="E9" s="17"/>
      <c r="F9" s="17"/>
      <c r="G9" s="17"/>
      <c r="H9" s="17"/>
      <c r="I9" s="17"/>
    </row>
    <row r="10" spans="1:13" ht="16.8" x14ac:dyDescent="0.3">
      <c r="A10" s="25" t="s">
        <v>129</v>
      </c>
      <c r="B10" s="17"/>
      <c r="C10" s="17"/>
      <c r="D10" s="17"/>
      <c r="E10" s="17"/>
      <c r="F10" s="17"/>
      <c r="G10" s="17"/>
      <c r="H10" s="17"/>
      <c r="I10" s="17"/>
    </row>
    <row r="11" spans="1:13" ht="16.8" x14ac:dyDescent="0.3">
      <c r="A11" s="25" t="s">
        <v>128</v>
      </c>
      <c r="B11" s="17"/>
      <c r="C11" s="17"/>
      <c r="D11" s="17"/>
      <c r="E11" s="17"/>
      <c r="F11" s="17"/>
      <c r="G11" s="17"/>
      <c r="H11" s="17"/>
      <c r="I11" s="17"/>
    </row>
    <row r="12" spans="1:13" ht="16.8" x14ac:dyDescent="0.3">
      <c r="A12" s="25" t="s">
        <v>113</v>
      </c>
      <c r="B12" s="17"/>
      <c r="C12" s="17"/>
      <c r="D12" s="17"/>
      <c r="E12" s="17"/>
      <c r="F12" s="17"/>
      <c r="G12" s="17"/>
      <c r="H12" s="17"/>
      <c r="I12" s="17"/>
    </row>
    <row r="13" spans="1:13" x14ac:dyDescent="0.25">
      <c r="A13" s="17"/>
      <c r="B13" s="17"/>
      <c r="C13" s="17"/>
      <c r="D13" s="17"/>
      <c r="E13" s="17"/>
      <c r="F13" s="17"/>
      <c r="G13" s="17"/>
      <c r="H13" s="17"/>
      <c r="I13" s="17"/>
    </row>
    <row r="14" spans="1:13" ht="16.8" x14ac:dyDescent="0.3">
      <c r="A14" s="25" t="s">
        <v>118</v>
      </c>
      <c r="B14" s="17"/>
      <c r="C14" s="17"/>
      <c r="D14" s="17"/>
      <c r="E14" s="17"/>
      <c r="F14" s="17"/>
      <c r="G14" s="17"/>
      <c r="H14" s="17"/>
      <c r="I14" s="17"/>
    </row>
    <row r="15" spans="1:13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13" x14ac:dyDescent="0.25">
      <c r="A16" s="26" t="s">
        <v>119</v>
      </c>
      <c r="B16" s="26"/>
      <c r="C16" s="26" t="s">
        <v>194</v>
      </c>
      <c r="E16" s="17"/>
      <c r="F16" s="17"/>
      <c r="G16" s="17"/>
      <c r="H16" s="17"/>
      <c r="I16" s="17"/>
    </row>
    <row r="17" spans="1:9" x14ac:dyDescent="0.25">
      <c r="A17" s="16"/>
      <c r="B17" s="16"/>
      <c r="C17" s="18" t="s">
        <v>374</v>
      </c>
      <c r="E17" s="16"/>
      <c r="F17" s="16"/>
      <c r="G17" s="16"/>
      <c r="H17" s="16"/>
      <c r="I17" s="16"/>
    </row>
    <row r="18" spans="1:9" ht="13.8" thickBot="1" x14ac:dyDescent="0.3">
      <c r="A18" s="16"/>
      <c r="B18" s="16"/>
      <c r="C18" s="18"/>
      <c r="D18" s="16"/>
      <c r="E18" s="16"/>
      <c r="F18" s="16"/>
      <c r="G18" s="16"/>
      <c r="H18" s="16"/>
      <c r="I18" s="16"/>
    </row>
    <row r="19" spans="1:9" ht="13.8" thickBot="1" x14ac:dyDescent="0.3">
      <c r="C19" s="54" t="s">
        <v>183</v>
      </c>
    </row>
    <row r="20" spans="1:9" ht="13.8" thickBot="1" x14ac:dyDescent="0.3">
      <c r="C20" s="189" t="s">
        <v>186</v>
      </c>
    </row>
    <row r="21" spans="1:9" ht="13.8" thickBot="1" x14ac:dyDescent="0.3">
      <c r="C21" s="190" t="s">
        <v>169</v>
      </c>
    </row>
    <row r="22" spans="1:9" ht="13.8" thickBot="1" x14ac:dyDescent="0.3">
      <c r="C22" s="189" t="s">
        <v>187</v>
      </c>
    </row>
    <row r="23" spans="1:9" ht="13.8" thickBot="1" x14ac:dyDescent="0.3">
      <c r="C23" s="190" t="s">
        <v>188</v>
      </c>
      <c r="H23" s="1" t="s">
        <v>130</v>
      </c>
    </row>
    <row r="24" spans="1:9" ht="13.8" thickBot="1" x14ac:dyDescent="0.3">
      <c r="C24" s="189" t="s">
        <v>179</v>
      </c>
    </row>
    <row r="25" spans="1:9" ht="13.8" thickBot="1" x14ac:dyDescent="0.3">
      <c r="C25" s="190" t="s">
        <v>189</v>
      </c>
    </row>
    <row r="26" spans="1:9" ht="13.8" thickBot="1" x14ac:dyDescent="0.3">
      <c r="C26" s="189" t="s">
        <v>190</v>
      </c>
    </row>
    <row r="27" spans="1:9" ht="13.8" thickBot="1" x14ac:dyDescent="0.3">
      <c r="C27" s="190" t="s">
        <v>181</v>
      </c>
    </row>
    <row r="28" spans="1:9" ht="13.8" thickBot="1" x14ac:dyDescent="0.3">
      <c r="C28" s="191" t="s">
        <v>250</v>
      </c>
    </row>
    <row r="29" spans="1:9" ht="13.8" thickBot="1" x14ac:dyDescent="0.3">
      <c r="C29" s="191" t="s">
        <v>251</v>
      </c>
    </row>
    <row r="30" spans="1:9" ht="13.8" thickBot="1" x14ac:dyDescent="0.3">
      <c r="C30" s="191" t="s">
        <v>191</v>
      </c>
    </row>
    <row r="31" spans="1:9" x14ac:dyDescent="0.25">
      <c r="C31" s="1"/>
    </row>
    <row r="32" spans="1:9" x14ac:dyDescent="0.25">
      <c r="H32" s="1" t="s">
        <v>130</v>
      </c>
    </row>
  </sheetData>
  <phoneticPr fontId="0" type="noConversion"/>
  <hyperlinks>
    <hyperlink ref="C20" location="'Input Value'!A1" display="INPUTS"/>
    <hyperlink ref="C21" location="Utilities!A1" display="UTILITIES"/>
    <hyperlink ref="C22" location="'Market Projection'!A1" display="MARKET PROJECTION"/>
    <hyperlink ref="C23" location="'Loan Amortization'!A1" display="LOAN AMORITIZATION"/>
    <hyperlink ref="C24" location="'Personnel Expenses'!A1" display="PERSONNEL EXPENSES"/>
    <hyperlink ref="C25" location="'Expense Projection'!A1" display="EXPENSE PROJECTION"/>
    <hyperlink ref="C26" location="'Operations Summary'!A1" display="OPERATIONS SUMMARY"/>
    <hyperlink ref="C27" location="Depreciation!A1" display="DEPRECIATION"/>
    <hyperlink ref="C30" location="'Return On Investment'!A1" display="RETURN ON INVESTMENT"/>
    <hyperlink ref="C28" location="Efficiency!A1" display="EFFICIENCY"/>
    <hyperlink ref="C29" location="Equipment!A1" display="EQUIPMENT"/>
  </hyperlinks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" shapeId="1032" r:id="rId4">
          <objectPr defaultSize="0" r:id="rId5">
            <anchor moveWithCells="1">
              <from>
                <xdr:col>4</xdr:col>
                <xdr:colOff>106680</xdr:colOff>
                <xdr:row>25</xdr:row>
                <xdr:rowOff>76200</xdr:rowOff>
              </from>
              <to>
                <xdr:col>6</xdr:col>
                <xdr:colOff>274320</xdr:colOff>
                <xdr:row>30</xdr:row>
                <xdr:rowOff>137160</xdr:rowOff>
              </to>
            </anchor>
          </objectPr>
        </oleObject>
      </mc:Choice>
      <mc:Fallback>
        <oleObject progId="AcroExch.Document" shapeId="1032" r:id="rId4"/>
      </mc:Fallback>
    </mc:AlternateContent>
    <mc:AlternateContent xmlns:mc="http://schemas.openxmlformats.org/markup-compatibility/2006">
      <mc:Choice Requires="x14">
        <oleObject progId="AcroExch.Document" shapeId="1033" r:id="rId6">
          <objectPr defaultSize="0" r:id="rId5">
            <anchor moveWithCells="1">
              <from>
                <xdr:col>5</xdr:col>
                <xdr:colOff>7620</xdr:colOff>
                <xdr:row>18</xdr:row>
                <xdr:rowOff>45720</xdr:rowOff>
              </from>
              <to>
                <xdr:col>7</xdr:col>
                <xdr:colOff>182880</xdr:colOff>
                <xdr:row>23</xdr:row>
                <xdr:rowOff>106680</xdr:rowOff>
              </to>
            </anchor>
          </objectPr>
        </oleObject>
      </mc:Choice>
      <mc:Fallback>
        <oleObject progId="AcroExch.Document" shapeId="1033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showRowColHeaders="0" topLeftCell="A26" workbookViewId="0">
      <selection activeCell="B8" sqref="B8:D26"/>
    </sheetView>
  </sheetViews>
  <sheetFormatPr defaultRowHeight="13.2" x14ac:dyDescent="0.25"/>
  <cols>
    <col min="1" max="1" width="1.6640625" customWidth="1"/>
    <col min="2" max="2" width="16.33203125" customWidth="1"/>
    <col min="3" max="3" width="8.33203125" bestFit="1" customWidth="1"/>
    <col min="4" max="4" width="12" bestFit="1" customWidth="1"/>
    <col min="5" max="13" width="11.6640625" customWidth="1"/>
    <col min="14" max="14" width="9.6640625" bestFit="1" customWidth="1"/>
  </cols>
  <sheetData>
    <row r="1" spans="2:13" ht="8.25" customHeight="1" thickBot="1" x14ac:dyDescent="0.3"/>
    <row r="2" spans="2:13" ht="13.8" thickBot="1" x14ac:dyDescent="0.3">
      <c r="B2" s="505" t="s">
        <v>183</v>
      </c>
      <c r="C2" s="517"/>
    </row>
    <row r="3" spans="2:13" ht="13.8" thickBot="1" x14ac:dyDescent="0.3">
      <c r="B3" s="518" t="s">
        <v>182</v>
      </c>
      <c r="C3" s="519"/>
    </row>
    <row r="4" spans="2:13" ht="13.8" thickBot="1" x14ac:dyDescent="0.3">
      <c r="B4" s="508" t="s">
        <v>177</v>
      </c>
      <c r="C4" s="520"/>
    </row>
    <row r="5" spans="2:13" s="17" customFormat="1" x14ac:dyDescent="0.25">
      <c r="B5" s="53"/>
    </row>
    <row r="6" spans="2:13" x14ac:dyDescent="0.25">
      <c r="B6" s="1" t="s">
        <v>109</v>
      </c>
    </row>
    <row r="8" spans="2:13" x14ac:dyDescent="0.25">
      <c r="B8" s="172" t="s">
        <v>127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2:13" x14ac:dyDescent="0.25">
      <c r="B9" s="173"/>
      <c r="C9" s="172" t="s">
        <v>10</v>
      </c>
      <c r="D9" s="174" t="s">
        <v>0</v>
      </c>
      <c r="E9" s="174" t="s">
        <v>1</v>
      </c>
      <c r="F9" s="174" t="s">
        <v>2</v>
      </c>
      <c r="G9" s="174" t="s">
        <v>3</v>
      </c>
      <c r="H9" s="174" t="s">
        <v>4</v>
      </c>
      <c r="I9" s="174" t="s">
        <v>5</v>
      </c>
      <c r="J9" s="174" t="s">
        <v>6</v>
      </c>
      <c r="K9" s="174" t="s">
        <v>7</v>
      </c>
      <c r="L9" s="174" t="s">
        <v>8</v>
      </c>
      <c r="M9" s="174" t="s">
        <v>9</v>
      </c>
    </row>
    <row r="10" spans="2:13" x14ac:dyDescent="0.25">
      <c r="B10" s="175" t="s">
        <v>57</v>
      </c>
      <c r="C10" s="176">
        <f>'Market Projection'!C22</f>
        <v>0</v>
      </c>
      <c r="D10" s="321">
        <f>'Market Projection'!E17</f>
        <v>5955767.3896389324</v>
      </c>
      <c r="E10" s="321">
        <f>'Market Projection'!F17</f>
        <v>5955767.3896389324</v>
      </c>
      <c r="F10" s="321">
        <f>'Market Projection'!G17</f>
        <v>5955767.3896389324</v>
      </c>
      <c r="G10" s="321">
        <f>'Market Projection'!H17</f>
        <v>5955767.3896389324</v>
      </c>
      <c r="H10" s="321">
        <f>'Market Projection'!I17</f>
        <v>5955767.3896389324</v>
      </c>
      <c r="I10" s="321">
        <f>'Market Projection'!J17</f>
        <v>5955767.3896389324</v>
      </c>
      <c r="J10" s="321">
        <f>'Market Projection'!K17</f>
        <v>5955767.3896389324</v>
      </c>
      <c r="K10" s="321">
        <f>'Market Projection'!L17</f>
        <v>5955767.3896389324</v>
      </c>
      <c r="L10" s="321">
        <f>'Market Projection'!M17</f>
        <v>5955767.3896389324</v>
      </c>
      <c r="M10" s="321">
        <f>'Market Projection'!N17</f>
        <v>5955767.3896389324</v>
      </c>
    </row>
    <row r="11" spans="2:13" x14ac:dyDescent="0.25"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2:13" x14ac:dyDescent="0.25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2:13" x14ac:dyDescent="0.25">
      <c r="B13" s="175" t="s">
        <v>52</v>
      </c>
      <c r="C13" s="177">
        <f t="shared" ref="C13:M13" si="0">SUM(C10:C11)</f>
        <v>0</v>
      </c>
      <c r="D13" s="177">
        <f t="shared" si="0"/>
        <v>5955767.3896389324</v>
      </c>
      <c r="E13" s="177">
        <f t="shared" si="0"/>
        <v>5955767.3896389324</v>
      </c>
      <c r="F13" s="177">
        <f t="shared" si="0"/>
        <v>5955767.3896389324</v>
      </c>
      <c r="G13" s="177">
        <f t="shared" si="0"/>
        <v>5955767.3896389324</v>
      </c>
      <c r="H13" s="177">
        <f t="shared" si="0"/>
        <v>5955767.3896389324</v>
      </c>
      <c r="I13" s="177">
        <f t="shared" si="0"/>
        <v>5955767.3896389324</v>
      </c>
      <c r="J13" s="177">
        <f t="shared" si="0"/>
        <v>5955767.3896389324</v>
      </c>
      <c r="K13" s="177">
        <f t="shared" si="0"/>
        <v>5955767.3896389324</v>
      </c>
      <c r="L13" s="177">
        <f t="shared" si="0"/>
        <v>5955767.3896389324</v>
      </c>
      <c r="M13" s="177">
        <f t="shared" si="0"/>
        <v>5955767.3896389324</v>
      </c>
    </row>
    <row r="14" spans="2:13" x14ac:dyDescent="0.25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</row>
    <row r="15" spans="2:13" x14ac:dyDescent="0.25">
      <c r="B15" s="172" t="s">
        <v>53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</row>
    <row r="16" spans="2:13" x14ac:dyDescent="0.25">
      <c r="B16" s="175" t="s">
        <v>36</v>
      </c>
      <c r="C16" s="176">
        <f>'Expense Projection'!D52</f>
        <v>613520</v>
      </c>
      <c r="D16" s="176">
        <f>'Expense Projection'!E52</f>
        <v>3725466.6118028257</v>
      </c>
      <c r="E16" s="176">
        <f>'Expense Projection'!F52</f>
        <v>3734048.911035479</v>
      </c>
      <c r="F16" s="176">
        <f>'Expense Projection'!G52</f>
        <v>3742717.0332604586</v>
      </c>
      <c r="G16" s="176">
        <f>'Expense Projection'!H52</f>
        <v>3751471.8367076879</v>
      </c>
      <c r="H16" s="176">
        <f>'Expense Projection'!I52</f>
        <v>3760314.1881893896</v>
      </c>
      <c r="I16" s="176">
        <f>'Expense Projection'!J52</f>
        <v>3769244.9631859087</v>
      </c>
      <c r="J16" s="176">
        <f>'Expense Projection'!K52</f>
        <v>3778265.0459323926</v>
      </c>
      <c r="K16" s="176">
        <f>'Expense Projection'!L52</f>
        <v>3787375.3295063409</v>
      </c>
      <c r="L16" s="176">
        <f>'Expense Projection'!M52</f>
        <v>3796576.7159160292</v>
      </c>
      <c r="M16" s="176">
        <f>'Expense Projection'!N52</f>
        <v>3805870.1161898142</v>
      </c>
    </row>
    <row r="17" spans="2:13" x14ac:dyDescent="0.25">
      <c r="B17" s="175" t="s">
        <v>38</v>
      </c>
      <c r="C17" s="176">
        <f>'Expense Projection'!D67</f>
        <v>0</v>
      </c>
      <c r="D17" s="176">
        <f>'Expense Projection'!E67</f>
        <v>1078507.691977279</v>
      </c>
      <c r="E17" s="176">
        <f>'Expense Projection'!F67</f>
        <v>1451314.5009659596</v>
      </c>
      <c r="F17" s="176">
        <f>'Expense Projection'!G67</f>
        <v>1152374.5247242914</v>
      </c>
      <c r="G17" s="176">
        <f>'Expense Projection'!H67</f>
        <v>823129.84898195311</v>
      </c>
      <c r="H17" s="176">
        <f>'Expense Projection'!I67</f>
        <v>805983.15107056871</v>
      </c>
      <c r="I17" s="176">
        <f>'Expense Projection'!J67</f>
        <v>763335.81278037664</v>
      </c>
      <c r="J17" s="176">
        <f>'Expense Projection'!K67</f>
        <v>572324.80460506119</v>
      </c>
      <c r="K17" s="176">
        <f>'Expense Projection'!L67</f>
        <v>404835.66651885503</v>
      </c>
      <c r="L17" s="176">
        <f>'Expense Projection'!M67</f>
        <v>381867.6344308136</v>
      </c>
      <c r="M17" s="176">
        <f>'Expense Projection'!N67</f>
        <v>357060.69704704575</v>
      </c>
    </row>
    <row r="18" spans="2:13" x14ac:dyDescent="0.25">
      <c r="B18" s="175" t="s">
        <v>48</v>
      </c>
      <c r="C18" s="176">
        <f>'Expense Projection'!D75</f>
        <v>0</v>
      </c>
      <c r="D18" s="176">
        <f>'Expense Projection'!E75</f>
        <v>0</v>
      </c>
      <c r="E18" s="176">
        <f>'Expense Projection'!F75</f>
        <v>0</v>
      </c>
      <c r="F18" s="176">
        <f>'Expense Projection'!G75</f>
        <v>0</v>
      </c>
      <c r="G18" s="176">
        <f>'Expense Projection'!H75</f>
        <v>0</v>
      </c>
      <c r="H18" s="176">
        <f>'Expense Projection'!I75</f>
        <v>0</v>
      </c>
      <c r="I18" s="176">
        <f>'Expense Projection'!J75</f>
        <v>0</v>
      </c>
      <c r="J18" s="176">
        <f>'Expense Projection'!K75</f>
        <v>0</v>
      </c>
      <c r="K18" s="176">
        <f>'Expense Projection'!L75</f>
        <v>0</v>
      </c>
      <c r="L18" s="176">
        <f>'Expense Projection'!M75</f>
        <v>0</v>
      </c>
      <c r="M18" s="176">
        <f>'Expense Projection'!N75</f>
        <v>0</v>
      </c>
    </row>
    <row r="19" spans="2:13" x14ac:dyDescent="0.25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</row>
    <row r="20" spans="2:13" x14ac:dyDescent="0.25">
      <c r="B20" s="175" t="s">
        <v>51</v>
      </c>
      <c r="C20" s="177">
        <f>SUM(C16:C18)</f>
        <v>613520</v>
      </c>
      <c r="D20" s="177">
        <f t="shared" ref="D20:L20" si="1">SUM(D16:D18)</f>
        <v>4803974.303780105</v>
      </c>
      <c r="E20" s="177">
        <f t="shared" si="1"/>
        <v>5185363.4120014384</v>
      </c>
      <c r="F20" s="177">
        <f t="shared" si="1"/>
        <v>4895091.5579847498</v>
      </c>
      <c r="G20" s="177">
        <f t="shared" si="1"/>
        <v>4574601.6856896412</v>
      </c>
      <c r="H20" s="177">
        <f t="shared" si="1"/>
        <v>4566297.3392599579</v>
      </c>
      <c r="I20" s="177">
        <f t="shared" si="1"/>
        <v>4532580.7759662857</v>
      </c>
      <c r="J20" s="177">
        <f t="shared" si="1"/>
        <v>4350589.8505374538</v>
      </c>
      <c r="K20" s="177">
        <f t="shared" si="1"/>
        <v>4192210.9960251958</v>
      </c>
      <c r="L20" s="177">
        <f t="shared" si="1"/>
        <v>4178444.3503468428</v>
      </c>
      <c r="M20" s="177">
        <f>SUM(M16:M18)</f>
        <v>4162930.8132368601</v>
      </c>
    </row>
    <row r="21" spans="2:13" x14ac:dyDescent="0.25">
      <c r="B21" s="175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2:13" x14ac:dyDescent="0.25">
      <c r="B22" s="175" t="s">
        <v>110</v>
      </c>
      <c r="C22" s="176">
        <f t="shared" ref="C22:M22" si="2">+C13-C20</f>
        <v>-613520</v>
      </c>
      <c r="D22" s="176">
        <f t="shared" si="2"/>
        <v>1151793.0858588275</v>
      </c>
      <c r="E22" s="176">
        <f t="shared" si="2"/>
        <v>770403.97763749398</v>
      </c>
      <c r="F22" s="176">
        <f t="shared" si="2"/>
        <v>1060675.8316541826</v>
      </c>
      <c r="G22" s="176">
        <f t="shared" si="2"/>
        <v>1381165.7039492913</v>
      </c>
      <c r="H22" s="176">
        <f t="shared" si="2"/>
        <v>1389470.0503789745</v>
      </c>
      <c r="I22" s="176">
        <f t="shared" si="2"/>
        <v>1423186.6136726467</v>
      </c>
      <c r="J22" s="176">
        <f t="shared" si="2"/>
        <v>1605177.5391014786</v>
      </c>
      <c r="K22" s="176">
        <f t="shared" si="2"/>
        <v>1763556.3936137366</v>
      </c>
      <c r="L22" s="176">
        <f t="shared" si="2"/>
        <v>1777323.0392920896</v>
      </c>
      <c r="M22" s="176">
        <f t="shared" si="2"/>
        <v>1792836.5764020723</v>
      </c>
    </row>
    <row r="23" spans="2:13" x14ac:dyDescent="0.25"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</row>
    <row r="24" spans="2:13" x14ac:dyDescent="0.25">
      <c r="B24" s="175" t="s">
        <v>111</v>
      </c>
      <c r="C24" s="340">
        <f>'Input Value'!$C$14*C22</f>
        <v>-368112</v>
      </c>
      <c r="D24" s="178">
        <f>'Input Value'!$C$14*D22</f>
        <v>691075.8515152965</v>
      </c>
      <c r="E24" s="178">
        <f>'Input Value'!$C$14*E22</f>
        <v>462242.3865824964</v>
      </c>
      <c r="F24" s="178">
        <f>'Input Value'!$C$14*F22</f>
        <v>636405.49899250956</v>
      </c>
      <c r="G24" s="178">
        <f>'Input Value'!$C$14*G22</f>
        <v>828699.42236957478</v>
      </c>
      <c r="H24" s="178">
        <f>'Input Value'!$C$14*H22</f>
        <v>833682.03022738465</v>
      </c>
      <c r="I24" s="178">
        <f>'Input Value'!$C$14*I22</f>
        <v>853911.96820358804</v>
      </c>
      <c r="J24" s="178">
        <f>'Input Value'!$C$14*J22</f>
        <v>963106.52346088714</v>
      </c>
      <c r="K24" s="178">
        <f>'Input Value'!$C$14*K22</f>
        <v>1058133.8361682419</v>
      </c>
      <c r="L24" s="178">
        <f>'Input Value'!$C$14*L22</f>
        <v>1066393.8235752538</v>
      </c>
      <c r="M24" s="178">
        <f>'Input Value'!$C$14*M22</f>
        <v>1075701.9458412433</v>
      </c>
    </row>
    <row r="25" spans="2:13" x14ac:dyDescent="0.25"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</row>
    <row r="26" spans="2:13" x14ac:dyDescent="0.25">
      <c r="B26" s="175" t="s">
        <v>112</v>
      </c>
      <c r="C26" s="177">
        <f>+C22-C24</f>
        <v>-245408</v>
      </c>
      <c r="D26" s="177">
        <f t="shared" ref="D26:M26" si="3">+D22-D24</f>
        <v>460717.23434353096</v>
      </c>
      <c r="E26" s="177">
        <f t="shared" si="3"/>
        <v>308161.59105499758</v>
      </c>
      <c r="F26" s="177">
        <f t="shared" si="3"/>
        <v>424270.33266167308</v>
      </c>
      <c r="G26" s="177">
        <f t="shared" si="3"/>
        <v>552466.28157971648</v>
      </c>
      <c r="H26" s="177">
        <f t="shared" si="3"/>
        <v>555788.02015158988</v>
      </c>
      <c r="I26" s="177">
        <f t="shared" si="3"/>
        <v>569274.64546905865</v>
      </c>
      <c r="J26" s="177">
        <f t="shared" si="3"/>
        <v>642071.0156405915</v>
      </c>
      <c r="K26" s="177">
        <f t="shared" si="3"/>
        <v>705422.55744549469</v>
      </c>
      <c r="L26" s="177">
        <f t="shared" si="3"/>
        <v>710929.21571683581</v>
      </c>
      <c r="M26" s="177">
        <f t="shared" si="3"/>
        <v>717134.63056082907</v>
      </c>
    </row>
    <row r="27" spans="2:13" x14ac:dyDescent="0.25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2:13" x14ac:dyDescent="0.25">
      <c r="B28" s="172" t="s">
        <v>161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</row>
    <row r="29" spans="2:13" x14ac:dyDescent="0.25">
      <c r="B29" s="179"/>
      <c r="C29" s="174" t="str">
        <f>C9</f>
        <v>Year 0</v>
      </c>
      <c r="D29" s="174" t="str">
        <f t="shared" ref="D29:M29" si="4">D9</f>
        <v>Year 1</v>
      </c>
      <c r="E29" s="174" t="str">
        <f t="shared" si="4"/>
        <v>Year 2</v>
      </c>
      <c r="F29" s="174" t="str">
        <f t="shared" si="4"/>
        <v>Year 3</v>
      </c>
      <c r="G29" s="174" t="str">
        <f t="shared" si="4"/>
        <v>Year 4</v>
      </c>
      <c r="H29" s="174" t="str">
        <f t="shared" si="4"/>
        <v>Year 5</v>
      </c>
      <c r="I29" s="174" t="str">
        <f t="shared" si="4"/>
        <v>Year 6</v>
      </c>
      <c r="J29" s="174" t="str">
        <f t="shared" si="4"/>
        <v>Year 7</v>
      </c>
      <c r="K29" s="174" t="str">
        <f t="shared" si="4"/>
        <v>Year 8</v>
      </c>
      <c r="L29" s="174" t="str">
        <f t="shared" si="4"/>
        <v>Year 9</v>
      </c>
      <c r="M29" s="174" t="str">
        <f t="shared" si="4"/>
        <v>Year 10</v>
      </c>
    </row>
    <row r="30" spans="2:13" x14ac:dyDescent="0.25">
      <c r="B30" s="173" t="s">
        <v>133</v>
      </c>
      <c r="C30" s="178">
        <f>C26</f>
        <v>-245408</v>
      </c>
      <c r="D30" s="178">
        <f t="shared" ref="D30:M30" si="5">D26</f>
        <v>460717.23434353096</v>
      </c>
      <c r="E30" s="178">
        <f t="shared" si="5"/>
        <v>308161.59105499758</v>
      </c>
      <c r="F30" s="178">
        <f t="shared" si="5"/>
        <v>424270.33266167308</v>
      </c>
      <c r="G30" s="178">
        <f t="shared" si="5"/>
        <v>552466.28157971648</v>
      </c>
      <c r="H30" s="178">
        <f t="shared" si="5"/>
        <v>555788.02015158988</v>
      </c>
      <c r="I30" s="178">
        <f t="shared" si="5"/>
        <v>569274.64546905865</v>
      </c>
      <c r="J30" s="178">
        <f t="shared" si="5"/>
        <v>642071.0156405915</v>
      </c>
      <c r="K30" s="178">
        <f t="shared" si="5"/>
        <v>705422.55744549469</v>
      </c>
      <c r="L30" s="178">
        <f t="shared" si="5"/>
        <v>710929.21571683581</v>
      </c>
      <c r="M30" s="178">
        <f t="shared" si="5"/>
        <v>717134.63056082907</v>
      </c>
    </row>
    <row r="31" spans="2:13" x14ac:dyDescent="0.25">
      <c r="B31" s="173" t="s">
        <v>47</v>
      </c>
      <c r="C31" s="178">
        <v>0</v>
      </c>
      <c r="D31" s="178">
        <f>Depreciation!C45</f>
        <v>599982.38957435905</v>
      </c>
      <c r="E31" s="178">
        <f>Depreciation!D45</f>
        <v>986042.89757435897</v>
      </c>
      <c r="F31" s="178">
        <f>Depreciation!E45</f>
        <v>701459.12557435897</v>
      </c>
      <c r="G31" s="178">
        <f>Depreciation!F45</f>
        <v>387756.93197435903</v>
      </c>
      <c r="H31" s="178">
        <f>Depreciation!G45</f>
        <v>387429.06057435897</v>
      </c>
      <c r="I31" s="178">
        <f>Depreciation!H45</f>
        <v>362973.72557435906</v>
      </c>
      <c r="J31" s="178">
        <f>Depreciation!I45</f>
        <v>191632.00337435896</v>
      </c>
      <c r="K31" s="178">
        <f>Depreciation!J45</f>
        <v>45401.358974358976</v>
      </c>
      <c r="L31" s="178">
        <f>Depreciation!K45</f>
        <v>45401.358974358976</v>
      </c>
      <c r="M31" s="178">
        <f>Depreciation!L45</f>
        <v>45401.358974358976</v>
      </c>
    </row>
    <row r="32" spans="2:13" x14ac:dyDescent="0.25">
      <c r="B32" s="173" t="s">
        <v>134</v>
      </c>
      <c r="C32" s="178">
        <v>0</v>
      </c>
      <c r="D32" s="178">
        <f>'Loan Amortization'!C22</f>
        <v>198967.84415092421</v>
      </c>
      <c r="E32" s="178">
        <f>'Loan Amortization'!D22</f>
        <v>213890.43246224354</v>
      </c>
      <c r="F32" s="178">
        <f>'Loan Amortization'!E22</f>
        <v>229932.21489691178</v>
      </c>
      <c r="G32" s="178">
        <f>'Loan Amortization'!F22</f>
        <v>247177.13101418017</v>
      </c>
      <c r="H32" s="178">
        <f>'Loan Amortization'!G22</f>
        <v>265715.41584024369</v>
      </c>
      <c r="I32" s="178">
        <f>'Loan Amortization'!H22</f>
        <v>285644.07202826196</v>
      </c>
      <c r="J32" s="178">
        <f>'Loan Amortization'!I22</f>
        <v>307067.3774303816</v>
      </c>
      <c r="K32" s="178">
        <f>'Loan Amortization'!J22</f>
        <v>330097.43073766027</v>
      </c>
      <c r="L32" s="178">
        <f>'Loan Amortization'!K22</f>
        <v>354854.73804298474</v>
      </c>
      <c r="M32" s="178">
        <f>'Loan Amortization'!L22</f>
        <v>381468.8433962086</v>
      </c>
    </row>
    <row r="33" spans="2:14" x14ac:dyDescent="0.25">
      <c r="B33" s="175" t="s">
        <v>135</v>
      </c>
      <c r="C33" s="180">
        <f>C30+C31-C32</f>
        <v>-245408</v>
      </c>
      <c r="D33" s="180">
        <f t="shared" ref="D33:M33" si="6">D30+D31-D32</f>
        <v>861731.77976696577</v>
      </c>
      <c r="E33" s="180">
        <f t="shared" si="6"/>
        <v>1080314.0561671129</v>
      </c>
      <c r="F33" s="180">
        <f t="shared" si="6"/>
        <v>895797.24333912041</v>
      </c>
      <c r="G33" s="180">
        <f t="shared" si="6"/>
        <v>693046.08253989532</v>
      </c>
      <c r="H33" s="180">
        <f t="shared" si="6"/>
        <v>677501.6648857051</v>
      </c>
      <c r="I33" s="180">
        <f t="shared" si="6"/>
        <v>646604.29901515576</v>
      </c>
      <c r="J33" s="180">
        <f t="shared" si="6"/>
        <v>526635.64158456889</v>
      </c>
      <c r="K33" s="180">
        <f t="shared" si="6"/>
        <v>420726.48568219342</v>
      </c>
      <c r="L33" s="180">
        <f t="shared" si="6"/>
        <v>401475.83664821007</v>
      </c>
      <c r="M33" s="180">
        <f t="shared" si="6"/>
        <v>381067.14613897947</v>
      </c>
      <c r="N33" s="20" t="s">
        <v>130</v>
      </c>
    </row>
    <row r="34" spans="2:14" x14ac:dyDescent="0.25">
      <c r="B34" s="173" t="s">
        <v>162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</row>
  </sheetData>
  <sheetProtection sheet="1" objects="1" scenarios="1"/>
  <mergeCells count="3">
    <mergeCell ref="B2:C2"/>
    <mergeCell ref="B3:C3"/>
    <mergeCell ref="B4:C4"/>
  </mergeCells>
  <phoneticPr fontId="0" type="noConversion"/>
  <hyperlinks>
    <hyperlink ref="B3" location="'Input Value'!A1" display="BACK TO INPUTS"/>
    <hyperlink ref="B4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0"/>
  <sheetViews>
    <sheetView showGridLines="0" showRowColHeaders="0" tabSelected="1" topLeftCell="B9" workbookViewId="0">
      <selection activeCell="B34" sqref="B34"/>
    </sheetView>
  </sheetViews>
  <sheetFormatPr defaultColWidth="9.109375" defaultRowHeight="13.2" x14ac:dyDescent="0.25"/>
  <cols>
    <col min="1" max="1" width="2" style="29" customWidth="1"/>
    <col min="2" max="2" width="25.44140625" style="29" customWidth="1"/>
    <col min="3" max="3" width="19" style="29" customWidth="1"/>
    <col min="4" max="4" width="14.109375" style="29" bestFit="1" customWidth="1"/>
    <col min="5" max="5" width="11.33203125" style="29" bestFit="1" customWidth="1"/>
    <col min="6" max="6" width="16.109375" style="29" customWidth="1"/>
    <col min="7" max="7" width="12.6640625" style="29" customWidth="1"/>
    <col min="8" max="8" width="15.33203125" style="29" customWidth="1"/>
    <col min="9" max="9" width="12.33203125" style="29" bestFit="1" customWidth="1"/>
    <col min="10" max="16384" width="9.109375" style="29"/>
  </cols>
  <sheetData>
    <row r="1" spans="2:9" ht="7.5" customHeight="1" thickBot="1" x14ac:dyDescent="0.3"/>
    <row r="2" spans="2:9" ht="13.8" thickBot="1" x14ac:dyDescent="0.3">
      <c r="B2" s="50" t="s">
        <v>183</v>
      </c>
      <c r="C2" s="136"/>
    </row>
    <row r="3" spans="2:9" ht="13.8" thickBot="1" x14ac:dyDescent="0.3">
      <c r="B3" s="213" t="s">
        <v>182</v>
      </c>
      <c r="C3" s="136"/>
    </row>
    <row r="4" spans="2:9" ht="13.8" thickBot="1" x14ac:dyDescent="0.3">
      <c r="B4" s="208" t="s">
        <v>177</v>
      </c>
      <c r="C4" s="136"/>
    </row>
    <row r="5" spans="2:9" x14ac:dyDescent="0.25">
      <c r="C5" s="36"/>
    </row>
    <row r="6" spans="2:9" x14ac:dyDescent="0.25">
      <c r="B6" s="106" t="s">
        <v>122</v>
      </c>
    </row>
    <row r="8" spans="2:9" x14ac:dyDescent="0.25">
      <c r="B8" s="137" t="s">
        <v>47</v>
      </c>
    </row>
    <row r="9" spans="2:9" x14ac:dyDescent="0.25">
      <c r="B9" s="106" t="s">
        <v>43</v>
      </c>
      <c r="C9" s="107" t="s">
        <v>69</v>
      </c>
    </row>
    <row r="10" spans="2:9" x14ac:dyDescent="0.25">
      <c r="B10" s="106" t="s">
        <v>44</v>
      </c>
      <c r="C10" s="107" t="s">
        <v>91</v>
      </c>
      <c r="D10" s="138"/>
    </row>
    <row r="11" spans="2:9" x14ac:dyDescent="0.25">
      <c r="B11" s="106" t="s">
        <v>45</v>
      </c>
      <c r="C11" s="107" t="s">
        <v>92</v>
      </c>
      <c r="D11" s="138"/>
    </row>
    <row r="12" spans="2:9" x14ac:dyDescent="0.25">
      <c r="B12" s="106" t="s">
        <v>46</v>
      </c>
      <c r="C12" s="107" t="s">
        <v>93</v>
      </c>
      <c r="D12" s="138"/>
    </row>
    <row r="13" spans="2:9" x14ac:dyDescent="0.25">
      <c r="B13" s="139"/>
      <c r="D13" s="138"/>
    </row>
    <row r="14" spans="2:9" x14ac:dyDescent="0.25">
      <c r="B14" s="139"/>
      <c r="D14" s="138"/>
      <c r="E14" s="138"/>
    </row>
    <row r="15" spans="2:9" x14ac:dyDescent="0.25">
      <c r="B15" s="106" t="s">
        <v>43</v>
      </c>
      <c r="C15" s="140"/>
      <c r="G15" s="106" t="s">
        <v>44</v>
      </c>
    </row>
    <row r="16" spans="2:9" x14ac:dyDescent="0.25">
      <c r="C16" s="141" t="s">
        <v>80</v>
      </c>
      <c r="D16" s="106" t="s">
        <v>81</v>
      </c>
      <c r="E16" s="106" t="s">
        <v>76</v>
      </c>
      <c r="H16" s="141" t="s">
        <v>80</v>
      </c>
      <c r="I16" s="106" t="s">
        <v>81</v>
      </c>
    </row>
    <row r="17" spans="2:17" x14ac:dyDescent="0.25">
      <c r="B17" s="29" t="s">
        <v>82</v>
      </c>
      <c r="C17" s="211" t="s">
        <v>43</v>
      </c>
      <c r="D17" s="212">
        <v>1520653</v>
      </c>
      <c r="E17" s="212">
        <v>50000</v>
      </c>
      <c r="G17" s="29" t="s">
        <v>82</v>
      </c>
      <c r="H17" s="211" t="s">
        <v>130</v>
      </c>
      <c r="I17" s="212">
        <v>0</v>
      </c>
    </row>
    <row r="18" spans="2:17" x14ac:dyDescent="0.25">
      <c r="B18" s="29" t="s">
        <v>83</v>
      </c>
      <c r="C18" s="211" t="s">
        <v>411</v>
      </c>
      <c r="D18" s="212">
        <v>300000</v>
      </c>
      <c r="E18" s="212"/>
      <c r="G18" s="29" t="s">
        <v>83</v>
      </c>
      <c r="H18" s="211" t="s">
        <v>130</v>
      </c>
      <c r="I18" s="212">
        <v>0</v>
      </c>
    </row>
    <row r="19" spans="2:17" x14ac:dyDescent="0.25">
      <c r="B19" s="29" t="s">
        <v>84</v>
      </c>
      <c r="C19" s="211" t="s">
        <v>130</v>
      </c>
      <c r="D19" s="212">
        <v>0</v>
      </c>
      <c r="E19" s="212"/>
      <c r="G19" s="29" t="s">
        <v>84</v>
      </c>
      <c r="H19" s="211"/>
      <c r="I19" s="212">
        <v>0</v>
      </c>
    </row>
    <row r="20" spans="2:17" x14ac:dyDescent="0.25">
      <c r="B20" s="29" t="s">
        <v>85</v>
      </c>
      <c r="C20" s="211"/>
      <c r="D20" s="212">
        <v>0</v>
      </c>
      <c r="E20" s="212"/>
      <c r="G20" s="29" t="s">
        <v>85</v>
      </c>
      <c r="H20" s="211"/>
      <c r="I20" s="212">
        <v>0</v>
      </c>
    </row>
    <row r="21" spans="2:17" x14ac:dyDescent="0.25">
      <c r="B21" s="29" t="s">
        <v>86</v>
      </c>
      <c r="C21" s="211"/>
      <c r="D21" s="212">
        <v>0</v>
      </c>
      <c r="E21" s="212"/>
      <c r="G21" s="29" t="s">
        <v>86</v>
      </c>
      <c r="H21" s="211"/>
      <c r="I21" s="212">
        <v>0</v>
      </c>
    </row>
    <row r="22" spans="2:17" x14ac:dyDescent="0.25">
      <c r="B22" s="106" t="s">
        <v>87</v>
      </c>
      <c r="C22" s="140"/>
      <c r="D22" s="55">
        <f>SUM(D17:D21)</f>
        <v>1820653</v>
      </c>
      <c r="E22" s="55">
        <f>SUM(E17:E21)</f>
        <v>50000</v>
      </c>
      <c r="G22" s="106" t="s">
        <v>89</v>
      </c>
      <c r="H22" s="140"/>
      <c r="I22" s="55">
        <f>SUM(I17:I21)</f>
        <v>0</v>
      </c>
    </row>
    <row r="23" spans="2:17" x14ac:dyDescent="0.25">
      <c r="C23" s="140"/>
      <c r="I23" s="55"/>
    </row>
    <row r="24" spans="2:17" x14ac:dyDescent="0.25">
      <c r="B24" s="106" t="s">
        <v>45</v>
      </c>
      <c r="G24" s="106" t="s">
        <v>46</v>
      </c>
      <c r="H24" s="140"/>
      <c r="I24" s="55"/>
    </row>
    <row r="25" spans="2:17" x14ac:dyDescent="0.25">
      <c r="C25" s="141" t="s">
        <v>80</v>
      </c>
      <c r="D25" s="106" t="s">
        <v>81</v>
      </c>
      <c r="E25" s="106"/>
      <c r="H25" s="141" t="s">
        <v>80</v>
      </c>
      <c r="I25" s="142" t="s">
        <v>81</v>
      </c>
    </row>
    <row r="26" spans="2:17" x14ac:dyDescent="0.25">
      <c r="B26" s="29" t="s">
        <v>82</v>
      </c>
      <c r="C26" s="211" t="s">
        <v>283</v>
      </c>
      <c r="D26" s="212">
        <v>3178714</v>
      </c>
      <c r="E26" s="212"/>
      <c r="G26" s="29" t="s">
        <v>82</v>
      </c>
      <c r="H26" s="211" t="s">
        <v>410</v>
      </c>
      <c r="I26" s="212">
        <v>80264</v>
      </c>
    </row>
    <row r="27" spans="2:17" x14ac:dyDescent="0.25">
      <c r="B27" s="29" t="s">
        <v>83</v>
      </c>
      <c r="C27" s="211"/>
      <c r="D27" s="212"/>
      <c r="E27" s="212"/>
      <c r="G27" s="29" t="s">
        <v>83</v>
      </c>
      <c r="H27" s="211" t="s">
        <v>409</v>
      </c>
      <c r="I27" s="212">
        <v>350000</v>
      </c>
    </row>
    <row r="28" spans="2:17" x14ac:dyDescent="0.25">
      <c r="B28" s="29" t="s">
        <v>84</v>
      </c>
      <c r="C28" s="211" t="s">
        <v>131</v>
      </c>
      <c r="D28" s="212">
        <v>80000</v>
      </c>
      <c r="E28" s="212"/>
      <c r="G28" s="29" t="s">
        <v>84</v>
      </c>
      <c r="H28" s="211" t="s">
        <v>130</v>
      </c>
      <c r="I28" s="212">
        <v>0</v>
      </c>
    </row>
    <row r="29" spans="2:17" x14ac:dyDescent="0.25">
      <c r="B29" s="29" t="s">
        <v>85</v>
      </c>
      <c r="C29" s="211" t="s">
        <v>49</v>
      </c>
      <c r="D29" s="212">
        <v>20000</v>
      </c>
      <c r="E29" s="212"/>
      <c r="G29" s="29" t="s">
        <v>85</v>
      </c>
      <c r="H29" s="211"/>
      <c r="I29" s="212">
        <v>0</v>
      </c>
    </row>
    <row r="30" spans="2:17" x14ac:dyDescent="0.25">
      <c r="B30" s="29" t="s">
        <v>86</v>
      </c>
      <c r="C30" s="211"/>
      <c r="D30" s="212">
        <v>0</v>
      </c>
      <c r="E30" s="212"/>
      <c r="G30" s="29" t="s">
        <v>86</v>
      </c>
      <c r="H30" s="211"/>
      <c r="I30" s="212">
        <v>0</v>
      </c>
    </row>
    <row r="31" spans="2:17" x14ac:dyDescent="0.25">
      <c r="B31" s="106" t="s">
        <v>88</v>
      </c>
      <c r="C31" s="140"/>
      <c r="D31" s="55">
        <f>SUM(D26:D30)</f>
        <v>3278714</v>
      </c>
      <c r="E31" s="55"/>
      <c r="G31" s="106" t="s">
        <v>90</v>
      </c>
      <c r="H31" s="140"/>
      <c r="I31" s="55">
        <f>SUM(I26:I30)</f>
        <v>430264</v>
      </c>
      <c r="J31" s="107"/>
      <c r="K31" s="107"/>
      <c r="L31" s="107"/>
      <c r="M31" s="107"/>
      <c r="N31" s="107"/>
      <c r="O31" s="107"/>
      <c r="P31" s="107"/>
      <c r="Q31" s="107"/>
    </row>
    <row r="32" spans="2:17" x14ac:dyDescent="0.25">
      <c r="C32" s="140"/>
      <c r="D32" s="140"/>
      <c r="E32" s="140"/>
      <c r="H32" s="107"/>
      <c r="I32" s="55"/>
      <c r="J32" s="107"/>
      <c r="K32" s="107"/>
      <c r="L32" s="107"/>
      <c r="M32" s="107"/>
      <c r="N32" s="107"/>
      <c r="O32" s="107"/>
      <c r="P32" s="107"/>
      <c r="Q32" s="107"/>
    </row>
    <row r="33" spans="2:17" x14ac:dyDescent="0.25">
      <c r="B33" s="106" t="s">
        <v>96</v>
      </c>
      <c r="C33" s="140"/>
      <c r="D33" s="55">
        <f>+D22+I22+D31+I31</f>
        <v>5529631</v>
      </c>
      <c r="E33" s="55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2:17" x14ac:dyDescent="0.25">
      <c r="B34" s="106" t="s">
        <v>105</v>
      </c>
      <c r="C34" s="140"/>
      <c r="D34" s="212">
        <v>100000</v>
      </c>
      <c r="E34" s="212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2:17" x14ac:dyDescent="0.25">
      <c r="B35" s="106" t="s">
        <v>106</v>
      </c>
      <c r="C35" s="140"/>
      <c r="D35" s="55">
        <f>+D33+D34</f>
        <v>5629631</v>
      </c>
      <c r="E35" s="55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2:17" x14ac:dyDescent="0.25">
      <c r="B36" s="106"/>
      <c r="C36" s="140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2:17" x14ac:dyDescent="0.25">
      <c r="B37" s="139" t="s">
        <v>67</v>
      </c>
    </row>
    <row r="39" spans="2:17" x14ac:dyDescent="0.25">
      <c r="B39" s="29" t="s">
        <v>66</v>
      </c>
      <c r="C39" s="29">
        <v>1</v>
      </c>
      <c r="D39" s="29">
        <v>2</v>
      </c>
      <c r="E39" s="29">
        <v>3</v>
      </c>
      <c r="F39" s="29">
        <v>4</v>
      </c>
      <c r="G39" s="29">
        <v>5</v>
      </c>
      <c r="H39" s="29">
        <v>6</v>
      </c>
      <c r="I39" s="29">
        <v>7</v>
      </c>
      <c r="J39" s="29">
        <v>8</v>
      </c>
      <c r="K39" s="29">
        <v>9</v>
      </c>
      <c r="L39" s="29">
        <v>10</v>
      </c>
    </row>
    <row r="40" spans="2:17" x14ac:dyDescent="0.25">
      <c r="B40" s="29" t="s">
        <v>43</v>
      </c>
      <c r="C40" s="107">
        <f t="shared" ref="C40:L40" si="0">$C$60</f>
        <v>45401.358974358976</v>
      </c>
      <c r="D40" s="107">
        <f t="shared" si="0"/>
        <v>45401.358974358976</v>
      </c>
      <c r="E40" s="107">
        <f t="shared" si="0"/>
        <v>45401.358974358976</v>
      </c>
      <c r="F40" s="107">
        <f t="shared" si="0"/>
        <v>45401.358974358976</v>
      </c>
      <c r="G40" s="107">
        <f t="shared" si="0"/>
        <v>45401.358974358976</v>
      </c>
      <c r="H40" s="107">
        <f t="shared" si="0"/>
        <v>45401.358974358976</v>
      </c>
      <c r="I40" s="107">
        <f t="shared" si="0"/>
        <v>45401.358974358976</v>
      </c>
      <c r="J40" s="107">
        <f t="shared" si="0"/>
        <v>45401.358974358976</v>
      </c>
      <c r="K40" s="107">
        <f t="shared" si="0"/>
        <v>45401.358974358976</v>
      </c>
      <c r="L40" s="107">
        <f t="shared" si="0"/>
        <v>45401.358974358976</v>
      </c>
    </row>
    <row r="41" spans="2:17" x14ac:dyDescent="0.25">
      <c r="B41" s="29" t="s">
        <v>44</v>
      </c>
      <c r="C41" s="107">
        <f>+C68</f>
        <v>0</v>
      </c>
      <c r="D41" s="107">
        <f>+C69</f>
        <v>0</v>
      </c>
      <c r="E41" s="107">
        <f>+C70</f>
        <v>0</v>
      </c>
      <c r="F41" s="107">
        <f>+C71</f>
        <v>0</v>
      </c>
      <c r="G41" s="107">
        <f>+C72</f>
        <v>0</v>
      </c>
      <c r="H41" s="107">
        <f>+C73</f>
        <v>0</v>
      </c>
      <c r="I41" s="107">
        <f>+C74</f>
        <v>0</v>
      </c>
      <c r="J41" s="107">
        <f>+C75</f>
        <v>0</v>
      </c>
      <c r="K41" s="107">
        <f>+C76</f>
        <v>0</v>
      </c>
      <c r="L41" s="107">
        <f>+C77</f>
        <v>0</v>
      </c>
    </row>
    <row r="42" spans="2:17" x14ac:dyDescent="0.25">
      <c r="B42" s="29" t="s">
        <v>45</v>
      </c>
      <c r="C42" s="107">
        <f>+$C$81</f>
        <v>468528.23060000001</v>
      </c>
      <c r="D42" s="107">
        <f>+$C$82</f>
        <v>802957.05859999999</v>
      </c>
      <c r="E42" s="107">
        <f>+$C$83</f>
        <v>573447.07860000001</v>
      </c>
      <c r="F42" s="107">
        <f>+$C$85</f>
        <v>292789.16020000004</v>
      </c>
      <c r="G42" s="107">
        <f>+$C$86</f>
        <v>292461.28879999998</v>
      </c>
      <c r="H42" s="107">
        <f>+$C$87</f>
        <v>292789.16020000004</v>
      </c>
      <c r="I42" s="107">
        <f>+$C$88</f>
        <v>146230.64439999999</v>
      </c>
      <c r="J42" s="107">
        <f>+$C$89</f>
        <v>0</v>
      </c>
    </row>
    <row r="43" spans="2:17" x14ac:dyDescent="0.25">
      <c r="B43" s="29" t="s">
        <v>68</v>
      </c>
      <c r="C43" s="107">
        <f>+$C$92</f>
        <v>86052.800000000003</v>
      </c>
      <c r="D43" s="107">
        <f>+$C$93</f>
        <v>137684.48000000001</v>
      </c>
      <c r="E43" s="107">
        <f>+$C$94</f>
        <v>82610.687999999995</v>
      </c>
      <c r="F43" s="107">
        <f>+$C$95</f>
        <v>49566.412799999998</v>
      </c>
      <c r="G43" s="107">
        <f>+$C$96</f>
        <v>49566.412799999998</v>
      </c>
      <c r="H43" s="107">
        <f>+$C$97</f>
        <v>24783.206399999999</v>
      </c>
      <c r="I43" s="107"/>
    </row>
    <row r="45" spans="2:17" x14ac:dyDescent="0.25">
      <c r="B45" s="106" t="s">
        <v>70</v>
      </c>
      <c r="C45" s="107">
        <f t="shared" ref="C45:L45" si="1">SUM(C40:C43)</f>
        <v>599982.38957435905</v>
      </c>
      <c r="D45" s="107">
        <f t="shared" si="1"/>
        <v>986042.89757435897</v>
      </c>
      <c r="E45" s="107">
        <f t="shared" si="1"/>
        <v>701459.12557435897</v>
      </c>
      <c r="F45" s="107">
        <f t="shared" si="1"/>
        <v>387756.93197435903</v>
      </c>
      <c r="G45" s="107">
        <f t="shared" si="1"/>
        <v>387429.06057435897</v>
      </c>
      <c r="H45" s="107">
        <f t="shared" si="1"/>
        <v>362973.72557435906</v>
      </c>
      <c r="I45" s="107">
        <f t="shared" si="1"/>
        <v>191632.00337435896</v>
      </c>
      <c r="J45" s="107">
        <f t="shared" si="1"/>
        <v>45401.358974358976</v>
      </c>
      <c r="K45" s="107">
        <f t="shared" si="1"/>
        <v>45401.358974358976</v>
      </c>
      <c r="L45" s="107">
        <f t="shared" si="1"/>
        <v>45401.358974358976</v>
      </c>
    </row>
    <row r="47" spans="2:17" x14ac:dyDescent="0.25">
      <c r="B47" s="106"/>
      <c r="C47" s="140"/>
    </row>
    <row r="48" spans="2:17" x14ac:dyDescent="0.25">
      <c r="B48" s="106"/>
      <c r="C48" s="107"/>
    </row>
    <row r="49" spans="2:12" x14ac:dyDescent="0.25">
      <c r="B49" s="106" t="s">
        <v>43</v>
      </c>
      <c r="C49" s="107" t="s">
        <v>69</v>
      </c>
    </row>
    <row r="50" spans="2:12" x14ac:dyDescent="0.25">
      <c r="B50" s="106" t="s">
        <v>44</v>
      </c>
      <c r="C50" s="107" t="s">
        <v>71</v>
      </c>
    </row>
    <row r="51" spans="2:12" x14ac:dyDescent="0.25">
      <c r="B51" s="106" t="s">
        <v>45</v>
      </c>
      <c r="C51" s="107" t="s">
        <v>72</v>
      </c>
    </row>
    <row r="52" spans="2:12" x14ac:dyDescent="0.25">
      <c r="B52" s="106" t="s">
        <v>46</v>
      </c>
      <c r="C52" s="107" t="s">
        <v>73</v>
      </c>
    </row>
    <row r="54" spans="2:12" x14ac:dyDescent="0.25">
      <c r="C54" s="140"/>
    </row>
    <row r="55" spans="2:12" x14ac:dyDescent="0.25">
      <c r="B55" s="106" t="s">
        <v>43</v>
      </c>
      <c r="C55" s="143"/>
      <c r="L55" s="29">
        <v>6.13E-2</v>
      </c>
    </row>
    <row r="56" spans="2:12" x14ac:dyDescent="0.25">
      <c r="B56" s="29" t="s">
        <v>74</v>
      </c>
      <c r="C56" s="144">
        <f>+D22</f>
        <v>1820653</v>
      </c>
    </row>
    <row r="57" spans="2:12" x14ac:dyDescent="0.25">
      <c r="B57" s="145" t="s">
        <v>75</v>
      </c>
      <c r="C57" s="114">
        <v>39</v>
      </c>
    </row>
    <row r="58" spans="2:12" x14ac:dyDescent="0.25">
      <c r="B58" s="145" t="s">
        <v>76</v>
      </c>
      <c r="C58" s="146">
        <f>E22</f>
        <v>50000</v>
      </c>
    </row>
    <row r="59" spans="2:12" x14ac:dyDescent="0.25">
      <c r="B59" s="145" t="s">
        <v>77</v>
      </c>
      <c r="C59" s="114">
        <v>39</v>
      </c>
    </row>
    <row r="60" spans="2:12" x14ac:dyDescent="0.25">
      <c r="B60" s="29" t="s">
        <v>78</v>
      </c>
      <c r="C60" s="107">
        <f>(C56-C58)/C59</f>
        <v>45401.358974358976</v>
      </c>
    </row>
    <row r="62" spans="2:12" x14ac:dyDescent="0.25">
      <c r="B62" s="106" t="s">
        <v>44</v>
      </c>
    </row>
    <row r="63" spans="2:12" x14ac:dyDescent="0.25">
      <c r="B63" s="29" t="s">
        <v>74</v>
      </c>
      <c r="C63" s="107">
        <f>$I$22</f>
        <v>0</v>
      </c>
    </row>
    <row r="64" spans="2:12" x14ac:dyDescent="0.25">
      <c r="B64" s="29" t="s">
        <v>75</v>
      </c>
      <c r="C64" s="29">
        <v>10</v>
      </c>
    </row>
    <row r="65" spans="2:12" x14ac:dyDescent="0.25">
      <c r="C65" s="129"/>
    </row>
    <row r="67" spans="2:12" x14ac:dyDescent="0.25">
      <c r="B67" s="139" t="s">
        <v>66</v>
      </c>
      <c r="C67" s="147" t="s">
        <v>47</v>
      </c>
      <c r="D67" s="139" t="s">
        <v>79</v>
      </c>
    </row>
    <row r="68" spans="2:12" x14ac:dyDescent="0.25">
      <c r="B68" s="29">
        <v>1</v>
      </c>
      <c r="C68" s="107">
        <f t="shared" ref="C68:C77" si="2">$C$63*D68</f>
        <v>0</v>
      </c>
      <c r="D68" s="148">
        <v>0.1</v>
      </c>
    </row>
    <row r="69" spans="2:12" x14ac:dyDescent="0.25">
      <c r="B69" s="29">
        <v>2</v>
      </c>
      <c r="C69" s="107">
        <f t="shared" si="2"/>
        <v>0</v>
      </c>
      <c r="D69" s="148">
        <v>0.14000000000000001</v>
      </c>
    </row>
    <row r="70" spans="2:12" x14ac:dyDescent="0.25">
      <c r="B70" s="29">
        <v>3</v>
      </c>
      <c r="C70" s="107">
        <f t="shared" si="2"/>
        <v>0</v>
      </c>
      <c r="D70" s="148">
        <v>0.14000000000000001</v>
      </c>
    </row>
    <row r="71" spans="2:12" x14ac:dyDescent="0.25">
      <c r="B71" s="29">
        <v>4</v>
      </c>
      <c r="C71" s="107">
        <f t="shared" si="2"/>
        <v>0</v>
      </c>
      <c r="D71" s="148">
        <v>0.14000000000000001</v>
      </c>
    </row>
    <row r="72" spans="2:12" x14ac:dyDescent="0.25">
      <c r="B72" s="29">
        <v>5</v>
      </c>
      <c r="C72" s="107">
        <f t="shared" si="2"/>
        <v>0</v>
      </c>
      <c r="D72" s="148">
        <v>0.14000000000000001</v>
      </c>
    </row>
    <row r="73" spans="2:12" x14ac:dyDescent="0.25">
      <c r="B73" s="29">
        <v>6</v>
      </c>
      <c r="C73" s="107">
        <f t="shared" si="2"/>
        <v>0</v>
      </c>
      <c r="D73" s="148">
        <v>0.14000000000000001</v>
      </c>
    </row>
    <row r="74" spans="2:12" x14ac:dyDescent="0.25">
      <c r="B74" s="29">
        <v>7</v>
      </c>
      <c r="C74" s="107">
        <f t="shared" si="2"/>
        <v>0</v>
      </c>
      <c r="D74" s="148">
        <v>0.14000000000000001</v>
      </c>
    </row>
    <row r="75" spans="2:12" x14ac:dyDescent="0.25">
      <c r="B75" s="29">
        <v>8</v>
      </c>
      <c r="C75" s="107">
        <f t="shared" si="2"/>
        <v>0</v>
      </c>
      <c r="D75" s="148">
        <v>0.14000000000000001</v>
      </c>
    </row>
    <row r="76" spans="2:12" x14ac:dyDescent="0.25">
      <c r="B76" s="29">
        <v>9</v>
      </c>
      <c r="C76" s="107">
        <f t="shared" si="2"/>
        <v>0</v>
      </c>
      <c r="D76" s="148">
        <v>0.14000000000000001</v>
      </c>
    </row>
    <row r="77" spans="2:12" x14ac:dyDescent="0.25">
      <c r="B77" s="29">
        <v>10</v>
      </c>
      <c r="C77" s="107">
        <f t="shared" si="2"/>
        <v>0</v>
      </c>
      <c r="D77" s="148">
        <v>0.14000000000000001</v>
      </c>
    </row>
    <row r="78" spans="2:12" x14ac:dyDescent="0.25">
      <c r="E78" s="145"/>
    </row>
    <row r="79" spans="2:12" x14ac:dyDescent="0.25">
      <c r="B79" s="106" t="s">
        <v>45</v>
      </c>
      <c r="E79" s="145"/>
      <c r="G79" s="106"/>
      <c r="H79" s="106"/>
      <c r="I79" s="106"/>
    </row>
    <row r="80" spans="2:12" x14ac:dyDescent="0.25">
      <c r="B80" s="139" t="s">
        <v>66</v>
      </c>
      <c r="C80" s="147" t="s">
        <v>47</v>
      </c>
      <c r="D80" s="139" t="s">
        <v>79</v>
      </c>
      <c r="E80" s="114"/>
      <c r="F80" s="106"/>
      <c r="G80" s="114"/>
      <c r="H80" s="114"/>
      <c r="I80" s="114"/>
      <c r="J80" s="114"/>
      <c r="K80" s="114"/>
      <c r="L80" s="114"/>
    </row>
    <row r="81" spans="2:6" x14ac:dyDescent="0.25">
      <c r="B81" s="29">
        <v>1</v>
      </c>
      <c r="C81" s="107">
        <f t="shared" ref="C81:C88" si="3">$D$31*D81</f>
        <v>468528.23060000001</v>
      </c>
      <c r="D81" s="149">
        <v>0.1429</v>
      </c>
      <c r="F81" s="114"/>
    </row>
    <row r="82" spans="2:6" x14ac:dyDescent="0.25">
      <c r="B82" s="29">
        <v>2</v>
      </c>
      <c r="C82" s="107">
        <f t="shared" si="3"/>
        <v>802957.05859999999</v>
      </c>
      <c r="D82" s="149">
        <v>0.24490000000000001</v>
      </c>
    </row>
    <row r="83" spans="2:6" x14ac:dyDescent="0.25">
      <c r="B83" s="29">
        <v>3</v>
      </c>
      <c r="C83" s="107">
        <f t="shared" si="3"/>
        <v>573447.07860000001</v>
      </c>
      <c r="D83" s="149">
        <v>0.1749</v>
      </c>
    </row>
    <row r="84" spans="2:6" x14ac:dyDescent="0.25">
      <c r="B84" s="29">
        <v>4</v>
      </c>
      <c r="C84" s="107">
        <f t="shared" si="3"/>
        <v>409511.3786</v>
      </c>
      <c r="D84" s="149">
        <v>0.1249</v>
      </c>
    </row>
    <row r="85" spans="2:6" x14ac:dyDescent="0.25">
      <c r="B85" s="29">
        <v>5</v>
      </c>
      <c r="C85" s="107">
        <f t="shared" si="3"/>
        <v>292789.16020000004</v>
      </c>
      <c r="D85" s="149">
        <v>8.9300000000000004E-2</v>
      </c>
    </row>
    <row r="86" spans="2:6" x14ac:dyDescent="0.25">
      <c r="B86" s="29">
        <v>6</v>
      </c>
      <c r="C86" s="107">
        <f t="shared" si="3"/>
        <v>292461.28879999998</v>
      </c>
      <c r="D86" s="149">
        <v>8.9200000000000002E-2</v>
      </c>
    </row>
    <row r="87" spans="2:6" x14ac:dyDescent="0.25">
      <c r="B87" s="29">
        <v>7</v>
      </c>
      <c r="C87" s="107">
        <f t="shared" si="3"/>
        <v>292789.16020000004</v>
      </c>
      <c r="D87" s="149">
        <v>8.9300000000000004E-2</v>
      </c>
    </row>
    <row r="88" spans="2:6" x14ac:dyDescent="0.25">
      <c r="B88" s="29">
        <v>8</v>
      </c>
      <c r="C88" s="107">
        <f t="shared" si="3"/>
        <v>146230.64439999999</v>
      </c>
      <c r="D88" s="149">
        <v>4.4600000000000001E-2</v>
      </c>
    </row>
    <row r="90" spans="2:6" x14ac:dyDescent="0.25">
      <c r="B90" s="106" t="s">
        <v>46</v>
      </c>
    </row>
    <row r="91" spans="2:6" x14ac:dyDescent="0.25">
      <c r="B91" s="139" t="s">
        <v>66</v>
      </c>
      <c r="C91" s="147" t="s">
        <v>47</v>
      </c>
      <c r="D91" s="139" t="s">
        <v>79</v>
      </c>
    </row>
    <row r="92" spans="2:6" x14ac:dyDescent="0.25">
      <c r="B92" s="29">
        <v>1</v>
      </c>
      <c r="C92" s="107">
        <f t="shared" ref="C92:C97" si="4">$I$31*D92</f>
        <v>86052.800000000003</v>
      </c>
      <c r="D92" s="150">
        <v>0.2</v>
      </c>
    </row>
    <row r="93" spans="2:6" x14ac:dyDescent="0.25">
      <c r="B93" s="29">
        <v>2</v>
      </c>
      <c r="C93" s="107">
        <f t="shared" si="4"/>
        <v>137684.48000000001</v>
      </c>
      <c r="D93" s="150">
        <v>0.32</v>
      </c>
    </row>
    <row r="94" spans="2:6" x14ac:dyDescent="0.25">
      <c r="B94" s="29">
        <v>3</v>
      </c>
      <c r="C94" s="107">
        <f t="shared" si="4"/>
        <v>82610.687999999995</v>
      </c>
      <c r="D94" s="150">
        <v>0.192</v>
      </c>
    </row>
    <row r="95" spans="2:6" x14ac:dyDescent="0.25">
      <c r="B95" s="29">
        <v>4</v>
      </c>
      <c r="C95" s="107">
        <f t="shared" si="4"/>
        <v>49566.412799999998</v>
      </c>
      <c r="D95" s="150">
        <v>0.1152</v>
      </c>
    </row>
    <row r="96" spans="2:6" x14ac:dyDescent="0.25">
      <c r="B96" s="29">
        <v>5</v>
      </c>
      <c r="C96" s="107">
        <f t="shared" si="4"/>
        <v>49566.412799999998</v>
      </c>
      <c r="D96" s="150">
        <v>0.1152</v>
      </c>
    </row>
    <row r="97" spans="2:5" x14ac:dyDescent="0.25">
      <c r="B97" s="29">
        <v>6</v>
      </c>
      <c r="C97" s="107">
        <f t="shared" si="4"/>
        <v>24783.206399999999</v>
      </c>
      <c r="D97" s="150">
        <v>5.7599999999999998E-2</v>
      </c>
    </row>
    <row r="98" spans="2:5" x14ac:dyDescent="0.25">
      <c r="E98" s="36"/>
    </row>
    <row r="99" spans="2:5" ht="13.8" x14ac:dyDescent="0.25">
      <c r="E99" s="151"/>
    </row>
    <row r="100" spans="2:5" ht="13.8" x14ac:dyDescent="0.25">
      <c r="E100" s="151"/>
    </row>
    <row r="101" spans="2:5" ht="13.8" x14ac:dyDescent="0.25">
      <c r="E101" s="151"/>
    </row>
    <row r="102" spans="2:5" ht="13.8" x14ac:dyDescent="0.25">
      <c r="E102" s="151"/>
    </row>
    <row r="103" spans="2:5" ht="13.8" x14ac:dyDescent="0.25">
      <c r="E103" s="151"/>
    </row>
    <row r="104" spans="2:5" ht="13.8" x14ac:dyDescent="0.25">
      <c r="E104" s="151"/>
    </row>
    <row r="105" spans="2:5" ht="13.8" x14ac:dyDescent="0.25">
      <c r="E105" s="151"/>
    </row>
    <row r="106" spans="2:5" ht="13.8" x14ac:dyDescent="0.25">
      <c r="E106" s="151"/>
    </row>
    <row r="107" spans="2:5" x14ac:dyDescent="0.25">
      <c r="E107" s="36"/>
    </row>
    <row r="108" spans="2:5" x14ac:dyDescent="0.25">
      <c r="E108" s="36"/>
    </row>
    <row r="109" spans="2:5" x14ac:dyDescent="0.25">
      <c r="E109" s="36"/>
    </row>
    <row r="110" spans="2:5" x14ac:dyDescent="0.25">
      <c r="E110" s="36"/>
    </row>
    <row r="111" spans="2:5" x14ac:dyDescent="0.25">
      <c r="E111" s="36"/>
    </row>
    <row r="112" spans="2:5" x14ac:dyDescent="0.25">
      <c r="E112" s="36"/>
    </row>
    <row r="113" spans="5:5" x14ac:dyDescent="0.25">
      <c r="E113" s="36"/>
    </row>
    <row r="114" spans="5:5" x14ac:dyDescent="0.25">
      <c r="E114" s="36"/>
    </row>
    <row r="115" spans="5:5" ht="13.8" x14ac:dyDescent="0.25">
      <c r="E115" s="151"/>
    </row>
    <row r="116" spans="5:5" ht="13.8" x14ac:dyDescent="0.25">
      <c r="E116" s="151"/>
    </row>
    <row r="117" spans="5:5" ht="13.8" x14ac:dyDescent="0.25">
      <c r="E117" s="151"/>
    </row>
    <row r="118" spans="5:5" ht="13.8" x14ac:dyDescent="0.25">
      <c r="E118" s="151"/>
    </row>
    <row r="119" spans="5:5" ht="13.8" x14ac:dyDescent="0.25">
      <c r="E119" s="151"/>
    </row>
    <row r="120" spans="5:5" ht="13.8" x14ac:dyDescent="0.25">
      <c r="E120" s="151"/>
    </row>
  </sheetData>
  <sheetProtection sheet="1" objects="1" scenarios="1"/>
  <phoneticPr fontId="0" type="noConversion"/>
  <hyperlinks>
    <hyperlink ref="B3" location="'Input Value'!A1" display="BACK TO INPUTS"/>
    <hyperlink ref="B4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B1" workbookViewId="0">
      <selection activeCell="A17" sqref="A17"/>
    </sheetView>
  </sheetViews>
  <sheetFormatPr defaultRowHeight="13.2" x14ac:dyDescent="0.25"/>
  <cols>
    <col min="1" max="1" width="24" customWidth="1"/>
    <col min="2" max="2" width="13.109375" customWidth="1"/>
    <col min="4" max="4" width="20.44140625" customWidth="1"/>
    <col min="7" max="7" width="31.88671875" customWidth="1"/>
    <col min="8" max="8" width="11.33203125" bestFit="1" customWidth="1"/>
  </cols>
  <sheetData>
    <row r="1" spans="1:8" x14ac:dyDescent="0.25">
      <c r="A1" s="268" t="s">
        <v>243</v>
      </c>
    </row>
    <row r="2" spans="1:8" ht="15.6" x14ac:dyDescent="0.3">
      <c r="A2" s="269" t="s">
        <v>245</v>
      </c>
      <c r="B2" s="278" t="s">
        <v>373</v>
      </c>
      <c r="D2" s="341"/>
    </row>
    <row r="3" spans="1:8" ht="16.2" thickBot="1" x14ac:dyDescent="0.35">
      <c r="A3" s="270" t="s">
        <v>244</v>
      </c>
    </row>
    <row r="4" spans="1:8" ht="13.8" thickBot="1" x14ac:dyDescent="0.3"/>
    <row r="5" spans="1:8" x14ac:dyDescent="0.25">
      <c r="A5" t="s">
        <v>240</v>
      </c>
      <c r="G5" s="47" t="s">
        <v>168</v>
      </c>
      <c r="H5" s="62"/>
    </row>
    <row r="6" spans="1:8" x14ac:dyDescent="0.25">
      <c r="A6" t="s">
        <v>331</v>
      </c>
      <c r="B6" s="365">
        <v>25000</v>
      </c>
      <c r="G6" s="69" t="s">
        <v>269</v>
      </c>
      <c r="H6" s="342">
        <v>60</v>
      </c>
    </row>
    <row r="7" spans="1:8" x14ac:dyDescent="0.25">
      <c r="A7" t="s">
        <v>324</v>
      </c>
      <c r="B7" s="290">
        <v>480</v>
      </c>
      <c r="C7" s="264"/>
      <c r="D7" s="264"/>
      <c r="E7" s="264"/>
      <c r="F7" s="264"/>
      <c r="G7" s="282" t="s">
        <v>268</v>
      </c>
      <c r="H7" s="342">
        <v>60</v>
      </c>
    </row>
    <row r="8" spans="1:8" x14ac:dyDescent="0.25">
      <c r="A8" s="298"/>
      <c r="B8" s="16"/>
      <c r="C8" s="16"/>
      <c r="G8" s="283" t="s">
        <v>270</v>
      </c>
      <c r="H8" s="342">
        <v>18</v>
      </c>
    </row>
    <row r="9" spans="1:8" x14ac:dyDescent="0.25">
      <c r="A9" s="16"/>
      <c r="B9" s="16"/>
      <c r="C9" s="16"/>
      <c r="G9" s="282" t="s">
        <v>276</v>
      </c>
      <c r="H9" s="342">
        <v>2</v>
      </c>
    </row>
    <row r="10" spans="1:8" x14ac:dyDescent="0.25">
      <c r="A10" s="16"/>
      <c r="B10" t="s">
        <v>326</v>
      </c>
      <c r="C10" t="s">
        <v>328</v>
      </c>
      <c r="D10" t="s">
        <v>327</v>
      </c>
      <c r="E10" t="s">
        <v>352</v>
      </c>
      <c r="G10" s="282" t="s">
        <v>381</v>
      </c>
      <c r="H10" s="284">
        <f>+B31*H6</f>
        <v>48877.714285714283</v>
      </c>
    </row>
    <row r="11" spans="1:8" x14ac:dyDescent="0.25">
      <c r="A11" s="17" t="s">
        <v>342</v>
      </c>
      <c r="B11" s="366">
        <v>0.3</v>
      </c>
      <c r="C11" s="366">
        <v>0.3</v>
      </c>
      <c r="D11" s="366">
        <f>1-B11-C11</f>
        <v>0.39999999999999997</v>
      </c>
      <c r="G11" s="69" t="s">
        <v>405</v>
      </c>
      <c r="H11" s="284">
        <f>+H6+30</f>
        <v>90</v>
      </c>
    </row>
    <row r="12" spans="1:8" x14ac:dyDescent="0.25">
      <c r="G12" s="283"/>
      <c r="H12" s="284"/>
    </row>
    <row r="13" spans="1:8" x14ac:dyDescent="0.25">
      <c r="A13" s="17" t="s">
        <v>325</v>
      </c>
      <c r="B13" s="366">
        <v>0.35</v>
      </c>
      <c r="C13" s="231">
        <v>0.32</v>
      </c>
      <c r="D13" s="366">
        <v>0.24</v>
      </c>
      <c r="G13" s="283"/>
      <c r="H13" s="78"/>
    </row>
    <row r="14" spans="1:8" x14ac:dyDescent="0.25">
      <c r="A14" s="264" t="s">
        <v>449</v>
      </c>
      <c r="B14" s="231">
        <v>0.55000000000000004</v>
      </c>
      <c r="C14" s="231">
        <v>0.5</v>
      </c>
      <c r="D14" s="366">
        <v>0.38</v>
      </c>
      <c r="G14" s="283"/>
      <c r="H14" s="78"/>
    </row>
    <row r="15" spans="1:8" x14ac:dyDescent="0.25">
      <c r="A15" s="315" t="s">
        <v>329</v>
      </c>
      <c r="B15" s="320">
        <f>1-B13-B14</f>
        <v>9.9999999999999978E-2</v>
      </c>
      <c r="C15" s="320">
        <f>1-C13-C14</f>
        <v>0.17999999999999994</v>
      </c>
      <c r="D15" s="320">
        <f>1-D13-D14</f>
        <v>0.38</v>
      </c>
      <c r="G15" s="283"/>
      <c r="H15" s="258"/>
    </row>
    <row r="16" spans="1:8" ht="13.8" thickBot="1" x14ac:dyDescent="0.3">
      <c r="A16" s="315" t="s">
        <v>330</v>
      </c>
      <c r="B16" s="316">
        <f>+$B$7/B13</f>
        <v>1371.4285714285716</v>
      </c>
      <c r="C16" s="316">
        <f>+$B$7/C13</f>
        <v>1500</v>
      </c>
      <c r="D16" s="316">
        <f>+$B$7/D13</f>
        <v>2000</v>
      </c>
      <c r="E16" s="295">
        <f>AVERAGE(B16:D16)</f>
        <v>1623.8095238095239</v>
      </c>
      <c r="G16" s="281"/>
      <c r="H16" s="289"/>
    </row>
    <row r="17" spans="1:8" x14ac:dyDescent="0.25">
      <c r="A17" s="315" t="s">
        <v>368</v>
      </c>
      <c r="B17" s="316">
        <f>+B16*B14</f>
        <v>754.28571428571445</v>
      </c>
      <c r="C17" s="316">
        <f>+C16*C14</f>
        <v>750</v>
      </c>
      <c r="D17" s="316">
        <f>+D16*D14</f>
        <v>760</v>
      </c>
      <c r="E17" s="295">
        <f>AVERAGE(B17:D17)</f>
        <v>754.76190476190493</v>
      </c>
      <c r="G17" s="280"/>
      <c r="H17" s="287"/>
    </row>
    <row r="18" spans="1:8" x14ac:dyDescent="0.25">
      <c r="A18" s="315" t="s">
        <v>332</v>
      </c>
      <c r="B18" s="317">
        <f>+$B$16/B16</f>
        <v>1</v>
      </c>
      <c r="C18" s="317">
        <f>+$B$16/C16</f>
        <v>0.91428571428571437</v>
      </c>
      <c r="D18" s="317">
        <f>+$B$16/D16</f>
        <v>0.68571428571428583</v>
      </c>
      <c r="G18" s="280" t="s">
        <v>271</v>
      </c>
      <c r="H18" s="286"/>
    </row>
    <row r="19" spans="1:8" x14ac:dyDescent="0.25">
      <c r="D19" s="16"/>
    </row>
    <row r="20" spans="1:8" x14ac:dyDescent="0.25">
      <c r="A20" t="s">
        <v>333</v>
      </c>
      <c r="B20" s="318">
        <f>+(B16/2000)</f>
        <v>0.68571428571428583</v>
      </c>
      <c r="C20" s="318">
        <f>+(C16/2000)</f>
        <v>0.75</v>
      </c>
      <c r="D20" s="318">
        <f>+(D16/2000)</f>
        <v>1</v>
      </c>
      <c r="E20" s="319">
        <f>AVERAGE(B20:D20)</f>
        <v>0.81190476190476202</v>
      </c>
    </row>
    <row r="21" spans="1:8" x14ac:dyDescent="0.25">
      <c r="A21" t="s">
        <v>334</v>
      </c>
      <c r="B21" s="318">
        <f>+($B$6*B13)/480</f>
        <v>18.229166666666668</v>
      </c>
      <c r="C21" s="318">
        <f>+($B$6*C13)/480</f>
        <v>16.666666666666668</v>
      </c>
      <c r="D21" s="318">
        <f>+($B$6*D13)/480</f>
        <v>12.5</v>
      </c>
      <c r="E21" s="333">
        <f>AVERAGE(B21:D21)</f>
        <v>15.798611111111112</v>
      </c>
      <c r="G21" s="280"/>
      <c r="H21" s="287"/>
    </row>
    <row r="22" spans="1:8" x14ac:dyDescent="0.25">
      <c r="A22" s="280" t="s">
        <v>347</v>
      </c>
      <c r="B22" s="334">
        <f>($B21+$C21+$D21)/3</f>
        <v>15.798611111111112</v>
      </c>
      <c r="G22" s="382">
        <f>H10/H6</f>
        <v>814.62857142857138</v>
      </c>
      <c r="H22" s="287"/>
    </row>
    <row r="23" spans="1:8" x14ac:dyDescent="0.25">
      <c r="A23" s="280" t="s">
        <v>353</v>
      </c>
      <c r="B23" s="335">
        <f>+H10/B22</f>
        <v>3093.798178963893</v>
      </c>
      <c r="D23">
        <f>(461*480)/2000</f>
        <v>110.64</v>
      </c>
      <c r="G23" s="280"/>
      <c r="H23" s="287"/>
    </row>
    <row r="24" spans="1:8" x14ac:dyDescent="0.25">
      <c r="A24" s="280" t="s">
        <v>358</v>
      </c>
      <c r="B24" s="335">
        <f>+H10/$E$20</f>
        <v>60201.290322580629</v>
      </c>
      <c r="D24">
        <f>70/110</f>
        <v>0.63636363636363635</v>
      </c>
      <c r="G24" s="280"/>
      <c r="H24" s="287"/>
    </row>
    <row r="25" spans="1:8" x14ac:dyDescent="0.25">
      <c r="A25" t="s">
        <v>339</v>
      </c>
      <c r="B25" s="319">
        <f>+H7</f>
        <v>60</v>
      </c>
      <c r="D25">
        <f>0.636*2000</f>
        <v>1272</v>
      </c>
    </row>
    <row r="26" spans="1:8" x14ac:dyDescent="0.25">
      <c r="A26" t="s">
        <v>340</v>
      </c>
      <c r="B26" s="317">
        <f>+(H9/H8)</f>
        <v>0.1111111111111111</v>
      </c>
      <c r="G26" s="280"/>
      <c r="H26" s="287"/>
    </row>
    <row r="27" spans="1:8" x14ac:dyDescent="0.25">
      <c r="A27" t="s">
        <v>341</v>
      </c>
      <c r="B27" s="318">
        <f>+B25*(1-B26)</f>
        <v>53.333333333333329</v>
      </c>
      <c r="G27" s="280"/>
      <c r="H27" s="286"/>
    </row>
    <row r="28" spans="1:8" x14ac:dyDescent="0.25">
      <c r="A28" t="s">
        <v>337</v>
      </c>
      <c r="B28" s="8">
        <f>+B27/B25</f>
        <v>0.88888888888888884</v>
      </c>
      <c r="C28" s="8"/>
      <c r="D28" s="8"/>
      <c r="G28" s="280"/>
      <c r="H28" s="286"/>
    </row>
    <row r="29" spans="1:8" x14ac:dyDescent="0.25">
      <c r="A29" t="s">
        <v>335</v>
      </c>
      <c r="B29" s="8">
        <f>+$B$28*B18</f>
        <v>0.88888888888888884</v>
      </c>
      <c r="C29" s="8">
        <f>+$B$28*C18</f>
        <v>0.8126984126984127</v>
      </c>
      <c r="D29" s="8">
        <f>+$B$28*D18</f>
        <v>0.60952380952380958</v>
      </c>
      <c r="E29" s="295"/>
      <c r="G29" s="280"/>
      <c r="H29" s="286"/>
    </row>
    <row r="30" spans="1:8" x14ac:dyDescent="0.25">
      <c r="A30" t="s">
        <v>336</v>
      </c>
      <c r="B30" s="294">
        <f>+$B$25*B29*H8</f>
        <v>959.99999999999989</v>
      </c>
      <c r="C30" s="294">
        <f>+$B$25*C29*H8</f>
        <v>877.71428571428567</v>
      </c>
      <c r="D30" s="294">
        <f>+$B$25*D29*H8</f>
        <v>658.28571428571433</v>
      </c>
      <c r="E30" s="295"/>
      <c r="G30" s="280"/>
      <c r="H30" s="288"/>
    </row>
    <row r="31" spans="1:8" x14ac:dyDescent="0.25">
      <c r="A31" t="s">
        <v>338</v>
      </c>
      <c r="B31" s="294">
        <f>+((B30*B11)+(C30*C11)+(D30*D11))</f>
        <v>814.62857142857138</v>
      </c>
      <c r="G31" s="285"/>
      <c r="H31" s="285"/>
    </row>
    <row r="32" spans="1:8" x14ac:dyDescent="0.25">
      <c r="G32" s="280"/>
      <c r="H32" s="285"/>
    </row>
    <row r="33" spans="1:2" x14ac:dyDescent="0.25">
      <c r="A33" t="s">
        <v>242</v>
      </c>
      <c r="B33" s="294">
        <f>H11/(H8-H9)</f>
        <v>5.625</v>
      </c>
    </row>
    <row r="34" spans="1:2" x14ac:dyDescent="0.25">
      <c r="A34" t="s">
        <v>278</v>
      </c>
      <c r="B34" s="294">
        <f>H11/H6</f>
        <v>1.5</v>
      </c>
    </row>
    <row r="35" spans="1:2" x14ac:dyDescent="0.25">
      <c r="A35" t="s">
        <v>279</v>
      </c>
      <c r="B35" s="31">
        <f>'Input Value'!C27/'Input Value'!C26</f>
        <v>38.596491228070178</v>
      </c>
    </row>
    <row r="36" spans="1:2" x14ac:dyDescent="0.25">
      <c r="A36" t="s">
        <v>280</v>
      </c>
      <c r="B36" s="31"/>
    </row>
  </sheetData>
  <sheetProtection scenarios="1"/>
  <phoneticPr fontId="0" type="noConversion"/>
  <hyperlinks>
    <hyperlink ref="A2" location="'Input Value'!A1" display="Back tp Inputs"/>
    <hyperlink ref="A3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1" workbookViewId="0">
      <selection activeCell="F9" sqref="F9"/>
    </sheetView>
  </sheetViews>
  <sheetFormatPr defaultRowHeight="13.2" x14ac:dyDescent="0.25"/>
  <cols>
    <col min="2" max="2" width="33.44140625" style="27" bestFit="1" customWidth="1"/>
    <col min="3" max="3" width="10.6640625" bestFit="1" customWidth="1"/>
    <col min="4" max="4" width="14" style="22" customWidth="1"/>
    <col min="6" max="6" width="15.6640625" customWidth="1"/>
    <col min="7" max="7" width="14.6640625" customWidth="1"/>
  </cols>
  <sheetData>
    <row r="1" spans="1:10" x14ac:dyDescent="0.25">
      <c r="B1" s="265" t="s">
        <v>243</v>
      </c>
    </row>
    <row r="2" spans="1:10" ht="15.6" x14ac:dyDescent="0.3">
      <c r="B2" s="266" t="s">
        <v>245</v>
      </c>
    </row>
    <row r="3" spans="1:10" ht="15.6" x14ac:dyDescent="0.3">
      <c r="B3" s="266" t="s">
        <v>244</v>
      </c>
    </row>
    <row r="4" spans="1:10" ht="16.2" thickBot="1" x14ac:dyDescent="0.35">
      <c r="B4" s="267" t="s">
        <v>246</v>
      </c>
      <c r="F4" s="262"/>
      <c r="G4" s="16"/>
      <c r="H4" s="16"/>
      <c r="I4" s="16"/>
    </row>
    <row r="5" spans="1:10" x14ac:dyDescent="0.25">
      <c r="F5" s="16"/>
      <c r="G5" s="16"/>
      <c r="H5" s="16"/>
      <c r="I5" s="16"/>
      <c r="J5" s="16"/>
    </row>
    <row r="6" spans="1:10" x14ac:dyDescent="0.25">
      <c r="A6" t="s">
        <v>241</v>
      </c>
      <c r="E6" s="262"/>
      <c r="F6" s="16"/>
      <c r="G6" s="16"/>
      <c r="H6" s="16"/>
      <c r="I6" s="16"/>
      <c r="J6" s="16"/>
    </row>
    <row r="7" spans="1:10" x14ac:dyDescent="0.25">
      <c r="E7" s="16"/>
      <c r="F7" s="16"/>
      <c r="G7" s="16"/>
      <c r="H7" s="16"/>
      <c r="I7" s="16"/>
      <c r="J7" s="16"/>
    </row>
    <row r="8" spans="1:10" ht="13.8" thickBot="1" x14ac:dyDescent="0.3">
      <c r="A8" s="263" t="s">
        <v>215</v>
      </c>
      <c r="B8" s="263" t="s">
        <v>214</v>
      </c>
      <c r="C8" s="263" t="s">
        <v>216</v>
      </c>
      <c r="D8" s="296" t="s">
        <v>217</v>
      </c>
      <c r="E8" s="260" t="s">
        <v>316</v>
      </c>
      <c r="F8" s="260" t="s">
        <v>317</v>
      </c>
      <c r="G8" s="260" t="s">
        <v>476</v>
      </c>
      <c r="H8" s="16"/>
      <c r="I8" s="16"/>
      <c r="J8" s="16"/>
    </row>
    <row r="9" spans="1:10" x14ac:dyDescent="0.25">
      <c r="A9" s="368">
        <v>15</v>
      </c>
      <c r="B9" s="369" t="s">
        <v>218</v>
      </c>
      <c r="C9" s="369">
        <v>175</v>
      </c>
      <c r="D9" s="212">
        <v>25000</v>
      </c>
      <c r="E9" s="277">
        <v>1</v>
      </c>
      <c r="F9" s="16">
        <f>+A9*C9*E9</f>
        <v>2625</v>
      </c>
      <c r="G9" s="255">
        <f>+A9*D9</f>
        <v>375000</v>
      </c>
      <c r="H9" s="16"/>
      <c r="I9" s="16"/>
      <c r="J9" s="16"/>
    </row>
    <row r="10" spans="1:10" x14ac:dyDescent="0.25">
      <c r="A10" s="370">
        <v>1</v>
      </c>
      <c r="B10" s="371" t="s">
        <v>219</v>
      </c>
      <c r="C10" s="372">
        <v>25</v>
      </c>
      <c r="D10" s="212">
        <v>25000</v>
      </c>
      <c r="E10" s="277">
        <v>1</v>
      </c>
      <c r="F10" s="16">
        <f t="shared" ref="F10:F31" si="0">+A10*C10*E10</f>
        <v>25</v>
      </c>
      <c r="G10" s="255">
        <f t="shared" ref="G10:G30" si="1">+A10*D10</f>
        <v>25000</v>
      </c>
      <c r="H10" s="16"/>
      <c r="I10" s="16"/>
      <c r="J10" s="16"/>
    </row>
    <row r="11" spans="1:10" x14ac:dyDescent="0.25">
      <c r="A11" s="370">
        <v>1</v>
      </c>
      <c r="B11" s="367" t="s">
        <v>220</v>
      </c>
      <c r="C11" s="372">
        <v>25</v>
      </c>
      <c r="D11" s="212">
        <v>25000</v>
      </c>
      <c r="E11" s="277">
        <v>1</v>
      </c>
      <c r="F11" s="16">
        <f t="shared" si="0"/>
        <v>25</v>
      </c>
      <c r="G11" s="255">
        <f t="shared" si="1"/>
        <v>25000</v>
      </c>
      <c r="H11" s="16"/>
      <c r="I11" s="16"/>
      <c r="J11" s="16"/>
    </row>
    <row r="12" spans="1:10" x14ac:dyDescent="0.25">
      <c r="A12" s="370">
        <v>1</v>
      </c>
      <c r="B12" s="367" t="s">
        <v>221</v>
      </c>
      <c r="C12" s="372">
        <v>25</v>
      </c>
      <c r="D12" s="212">
        <v>50000</v>
      </c>
      <c r="E12" s="277">
        <v>1</v>
      </c>
      <c r="F12" s="16">
        <f t="shared" si="0"/>
        <v>25</v>
      </c>
      <c r="G12" s="255">
        <f t="shared" si="1"/>
        <v>50000</v>
      </c>
      <c r="H12" s="16"/>
      <c r="I12" s="16"/>
      <c r="J12" s="16"/>
    </row>
    <row r="13" spans="1:10" x14ac:dyDescent="0.25">
      <c r="A13" s="370">
        <v>1</v>
      </c>
      <c r="B13" s="367" t="s">
        <v>222</v>
      </c>
      <c r="C13" s="372">
        <v>25</v>
      </c>
      <c r="D13" s="212">
        <v>25000</v>
      </c>
      <c r="E13" s="277">
        <v>1</v>
      </c>
      <c r="F13" s="16">
        <f t="shared" si="0"/>
        <v>25</v>
      </c>
      <c r="G13" s="255">
        <f t="shared" si="1"/>
        <v>25000</v>
      </c>
    </row>
    <row r="14" spans="1:10" x14ac:dyDescent="0.25">
      <c r="A14" s="370">
        <v>1</v>
      </c>
      <c r="B14" s="367" t="s">
        <v>223</v>
      </c>
      <c r="C14" s="372">
        <v>25</v>
      </c>
      <c r="D14" s="212">
        <v>25000</v>
      </c>
      <c r="E14" s="277">
        <v>1</v>
      </c>
      <c r="F14" s="16">
        <f t="shared" si="0"/>
        <v>25</v>
      </c>
      <c r="G14" s="255">
        <f t="shared" si="1"/>
        <v>25000</v>
      </c>
    </row>
    <row r="15" spans="1:10" x14ac:dyDescent="0.25">
      <c r="A15" s="370">
        <v>1</v>
      </c>
      <c r="B15" s="372" t="s">
        <v>224</v>
      </c>
      <c r="C15" s="372">
        <v>25</v>
      </c>
      <c r="D15" s="212">
        <v>25000</v>
      </c>
      <c r="E15" s="373">
        <v>1</v>
      </c>
      <c r="F15" s="16">
        <f t="shared" si="0"/>
        <v>25</v>
      </c>
      <c r="G15" s="255">
        <f t="shared" si="1"/>
        <v>25000</v>
      </c>
    </row>
    <row r="16" spans="1:10" x14ac:dyDescent="0.25">
      <c r="A16" s="370">
        <v>8</v>
      </c>
      <c r="B16" s="372" t="s">
        <v>225</v>
      </c>
      <c r="C16" s="372">
        <v>75</v>
      </c>
      <c r="D16" s="212">
        <v>50000</v>
      </c>
      <c r="E16" s="277">
        <v>1</v>
      </c>
      <c r="F16" s="16">
        <f t="shared" si="0"/>
        <v>600</v>
      </c>
      <c r="G16" s="255">
        <f t="shared" si="1"/>
        <v>400000</v>
      </c>
    </row>
    <row r="17" spans="1:7" x14ac:dyDescent="0.25">
      <c r="A17" s="370">
        <v>2</v>
      </c>
      <c r="B17" s="372" t="s">
        <v>226</v>
      </c>
      <c r="C17" s="372">
        <v>25</v>
      </c>
      <c r="D17" s="212">
        <v>50000</v>
      </c>
      <c r="E17" s="277">
        <v>1</v>
      </c>
      <c r="F17" s="16">
        <f t="shared" si="0"/>
        <v>50</v>
      </c>
      <c r="G17" s="255">
        <f t="shared" si="1"/>
        <v>100000</v>
      </c>
    </row>
    <row r="18" spans="1:7" x14ac:dyDescent="0.25">
      <c r="A18" s="370">
        <v>1</v>
      </c>
      <c r="B18" s="372" t="s">
        <v>227</v>
      </c>
      <c r="C18" s="372">
        <v>25</v>
      </c>
      <c r="D18" s="215">
        <v>300000</v>
      </c>
      <c r="E18" s="277">
        <v>1</v>
      </c>
      <c r="F18" s="16">
        <f t="shared" si="0"/>
        <v>25</v>
      </c>
      <c r="G18" s="255">
        <f t="shared" si="1"/>
        <v>300000</v>
      </c>
    </row>
    <row r="19" spans="1:7" x14ac:dyDescent="0.25">
      <c r="A19" s="370">
        <v>1</v>
      </c>
      <c r="B19" s="372" t="s">
        <v>228</v>
      </c>
      <c r="C19" s="372">
        <v>25</v>
      </c>
      <c r="D19" s="212">
        <v>25000</v>
      </c>
      <c r="E19" s="277">
        <v>1</v>
      </c>
      <c r="F19" s="16">
        <f t="shared" si="0"/>
        <v>25</v>
      </c>
      <c r="G19" s="255">
        <f t="shared" si="1"/>
        <v>25000</v>
      </c>
    </row>
    <row r="20" spans="1:7" x14ac:dyDescent="0.25">
      <c r="A20" s="370">
        <v>1</v>
      </c>
      <c r="B20" s="372" t="s">
        <v>229</v>
      </c>
      <c r="C20" s="372"/>
      <c r="D20" s="212">
        <v>100000</v>
      </c>
      <c r="E20" s="277">
        <v>1</v>
      </c>
      <c r="F20" s="16">
        <f t="shared" si="0"/>
        <v>0</v>
      </c>
      <c r="G20" s="255">
        <f t="shared" si="1"/>
        <v>100000</v>
      </c>
    </row>
    <row r="21" spans="1:7" x14ac:dyDescent="0.25">
      <c r="A21" s="370">
        <v>1</v>
      </c>
      <c r="B21" s="372" t="s">
        <v>230</v>
      </c>
      <c r="C21" s="372">
        <v>25</v>
      </c>
      <c r="D21" s="212">
        <v>25000</v>
      </c>
      <c r="E21" s="277">
        <v>1</v>
      </c>
      <c r="F21" s="16">
        <f t="shared" si="0"/>
        <v>25</v>
      </c>
      <c r="G21" s="255">
        <f t="shared" si="1"/>
        <v>25000</v>
      </c>
    </row>
    <row r="22" spans="1:7" x14ac:dyDescent="0.25">
      <c r="A22" s="370">
        <v>1</v>
      </c>
      <c r="B22" s="372" t="s">
        <v>231</v>
      </c>
      <c r="C22" s="372">
        <v>25</v>
      </c>
      <c r="D22" s="212">
        <v>25000</v>
      </c>
      <c r="E22" s="277">
        <v>1</v>
      </c>
      <c r="F22" s="16">
        <f t="shared" si="0"/>
        <v>25</v>
      </c>
      <c r="G22" s="255">
        <f t="shared" si="1"/>
        <v>25000</v>
      </c>
    </row>
    <row r="23" spans="1:7" x14ac:dyDescent="0.25">
      <c r="A23" s="370">
        <v>1</v>
      </c>
      <c r="B23" s="372" t="s">
        <v>232</v>
      </c>
      <c r="C23" s="372">
        <v>25</v>
      </c>
      <c r="D23" s="212">
        <v>100000</v>
      </c>
      <c r="E23" s="365">
        <v>1</v>
      </c>
      <c r="F23" s="16">
        <f t="shared" si="0"/>
        <v>25</v>
      </c>
      <c r="G23" s="255">
        <f t="shared" si="1"/>
        <v>100000</v>
      </c>
    </row>
    <row r="24" spans="1:7" x14ac:dyDescent="0.25">
      <c r="A24" s="370">
        <v>1</v>
      </c>
      <c r="B24" s="372" t="s">
        <v>233</v>
      </c>
      <c r="C24" s="372">
        <v>100</v>
      </c>
      <c r="D24" s="212">
        <v>25000</v>
      </c>
      <c r="E24" s="365">
        <v>1</v>
      </c>
      <c r="F24" s="16">
        <f t="shared" si="0"/>
        <v>100</v>
      </c>
      <c r="G24" s="255">
        <f t="shared" si="1"/>
        <v>25000</v>
      </c>
    </row>
    <row r="25" spans="1:7" x14ac:dyDescent="0.25">
      <c r="A25" s="370">
        <v>1</v>
      </c>
      <c r="B25" s="372" t="s">
        <v>234</v>
      </c>
      <c r="C25" s="372">
        <v>25</v>
      </c>
      <c r="D25" s="212">
        <v>25000</v>
      </c>
      <c r="E25" s="365">
        <v>1</v>
      </c>
      <c r="F25" s="16">
        <f t="shared" si="0"/>
        <v>25</v>
      </c>
      <c r="G25" s="255">
        <f t="shared" si="1"/>
        <v>25000</v>
      </c>
    </row>
    <row r="26" spans="1:7" x14ac:dyDescent="0.25">
      <c r="A26" s="370">
        <v>1</v>
      </c>
      <c r="B26" s="372" t="s">
        <v>235</v>
      </c>
      <c r="C26" s="372">
        <v>100</v>
      </c>
      <c r="D26" s="212">
        <v>25000</v>
      </c>
      <c r="E26" s="365">
        <v>1</v>
      </c>
      <c r="F26" s="16">
        <f t="shared" si="0"/>
        <v>100</v>
      </c>
      <c r="G26" s="255">
        <f t="shared" si="1"/>
        <v>25000</v>
      </c>
    </row>
    <row r="27" spans="1:7" x14ac:dyDescent="0.25">
      <c r="A27" s="370">
        <v>1</v>
      </c>
      <c r="B27" s="369" t="s">
        <v>236</v>
      </c>
      <c r="C27" s="369">
        <v>25</v>
      </c>
      <c r="D27" s="212">
        <v>250000</v>
      </c>
      <c r="E27" s="365">
        <v>1</v>
      </c>
      <c r="F27" s="16">
        <f t="shared" si="0"/>
        <v>25</v>
      </c>
      <c r="G27" s="255">
        <f t="shared" si="1"/>
        <v>250000</v>
      </c>
    </row>
    <row r="28" spans="1:7" x14ac:dyDescent="0.25">
      <c r="A28" s="370">
        <v>1</v>
      </c>
      <c r="B28" s="369" t="s">
        <v>237</v>
      </c>
      <c r="C28" s="369">
        <v>100</v>
      </c>
      <c r="D28" s="212">
        <v>25000</v>
      </c>
      <c r="E28" s="365">
        <v>1</v>
      </c>
      <c r="F28" s="16">
        <f t="shared" si="0"/>
        <v>100</v>
      </c>
      <c r="G28" s="255">
        <f t="shared" si="1"/>
        <v>25000</v>
      </c>
    </row>
    <row r="29" spans="1:7" x14ac:dyDescent="0.25">
      <c r="A29" s="370">
        <v>1</v>
      </c>
      <c r="B29" s="369" t="s">
        <v>238</v>
      </c>
      <c r="C29" s="369"/>
      <c r="D29" s="212">
        <v>25000</v>
      </c>
      <c r="E29" s="365">
        <v>1</v>
      </c>
      <c r="F29" s="16">
        <f t="shared" si="0"/>
        <v>0</v>
      </c>
      <c r="G29" s="255">
        <f t="shared" si="1"/>
        <v>25000</v>
      </c>
    </row>
    <row r="30" spans="1:7" x14ac:dyDescent="0.25">
      <c r="A30" s="370">
        <v>1</v>
      </c>
      <c r="B30" s="369" t="s">
        <v>239</v>
      </c>
      <c r="C30" s="369">
        <v>25</v>
      </c>
      <c r="D30" s="212">
        <v>25000</v>
      </c>
      <c r="E30" s="365">
        <v>1</v>
      </c>
      <c r="F30" s="16">
        <f t="shared" si="0"/>
        <v>25</v>
      </c>
      <c r="G30" s="255">
        <f t="shared" si="1"/>
        <v>25000</v>
      </c>
    </row>
    <row r="31" spans="1:7" ht="13.8" thickBot="1" x14ac:dyDescent="0.3">
      <c r="A31" s="374"/>
      <c r="B31" s="375"/>
      <c r="C31" s="375"/>
      <c r="D31" s="216"/>
      <c r="E31" s="376">
        <v>1</v>
      </c>
      <c r="F31" s="16">
        <f t="shared" si="0"/>
        <v>0</v>
      </c>
      <c r="G31" s="260"/>
    </row>
    <row r="32" spans="1:7" x14ac:dyDescent="0.25">
      <c r="A32" s="17"/>
      <c r="B32" s="262" t="s">
        <v>52</v>
      </c>
      <c r="C32" s="262">
        <f>SUM(C9:C31)</f>
        <v>925</v>
      </c>
      <c r="D32" s="297">
        <f>SUM(D9:D31)</f>
        <v>1275000</v>
      </c>
      <c r="E32" s="262">
        <v>1</v>
      </c>
      <c r="F32" s="27">
        <f>SUM(F9:F31)</f>
        <v>3925</v>
      </c>
      <c r="G32" s="297">
        <f>SUM(G9:G31)</f>
        <v>2025000</v>
      </c>
    </row>
    <row r="33" spans="1:5" x14ac:dyDescent="0.25">
      <c r="A33" s="17"/>
      <c r="B33" s="262"/>
      <c r="C33" s="16"/>
      <c r="D33" s="297"/>
      <c r="E33" s="16"/>
    </row>
    <row r="34" spans="1:5" x14ac:dyDescent="0.25">
      <c r="A34" s="17"/>
      <c r="B34" s="262"/>
      <c r="C34" s="16"/>
      <c r="D34" s="297"/>
      <c r="E34" s="16"/>
    </row>
    <row r="35" spans="1:5" x14ac:dyDescent="0.25">
      <c r="A35" s="17"/>
      <c r="B35" s="262"/>
      <c r="C35" s="16"/>
      <c r="D35" s="297"/>
      <c r="E35" s="16"/>
    </row>
    <row r="36" spans="1:5" x14ac:dyDescent="0.25">
      <c r="A36" s="17"/>
      <c r="B36" s="262"/>
      <c r="C36" s="16"/>
      <c r="D36" s="297"/>
      <c r="E36" s="16"/>
    </row>
    <row r="37" spans="1:5" x14ac:dyDescent="0.25">
      <c r="A37" s="17"/>
      <c r="B37" s="262"/>
      <c r="C37" s="16"/>
      <c r="D37" s="297"/>
      <c r="E37" s="16"/>
    </row>
    <row r="38" spans="1:5" x14ac:dyDescent="0.25">
      <c r="A38" s="17"/>
      <c r="B38" s="262"/>
      <c r="C38" s="16"/>
      <c r="D38" s="297"/>
      <c r="E38" s="16"/>
    </row>
    <row r="39" spans="1:5" x14ac:dyDescent="0.25">
      <c r="A39" s="17"/>
      <c r="B39" s="262"/>
      <c r="C39" s="16"/>
      <c r="D39" s="297"/>
      <c r="E39" s="16"/>
    </row>
    <row r="40" spans="1:5" x14ac:dyDescent="0.25">
      <c r="A40" s="17"/>
      <c r="B40" s="262"/>
      <c r="C40" s="16"/>
      <c r="D40" s="297"/>
      <c r="E40" s="16"/>
    </row>
    <row r="41" spans="1:5" x14ac:dyDescent="0.25">
      <c r="A41" s="17"/>
      <c r="B41" s="262"/>
      <c r="C41" s="16"/>
      <c r="D41" s="297"/>
      <c r="E41" s="16"/>
    </row>
    <row r="42" spans="1:5" x14ac:dyDescent="0.25">
      <c r="A42" s="17"/>
      <c r="B42" s="262"/>
      <c r="C42" s="16"/>
      <c r="D42" s="297"/>
      <c r="E42" s="16"/>
    </row>
    <row r="43" spans="1:5" x14ac:dyDescent="0.25">
      <c r="A43" s="17"/>
      <c r="B43" s="262"/>
      <c r="C43" s="16"/>
      <c r="D43" s="297"/>
      <c r="E43" s="16"/>
    </row>
    <row r="44" spans="1:5" x14ac:dyDescent="0.25">
      <c r="A44" s="17"/>
      <c r="B44" s="262"/>
      <c r="C44" s="16"/>
      <c r="D44" s="297"/>
      <c r="E44" s="16"/>
    </row>
    <row r="45" spans="1:5" x14ac:dyDescent="0.25">
      <c r="A45" s="17"/>
      <c r="B45" s="262"/>
      <c r="C45" s="16"/>
      <c r="D45" s="297"/>
      <c r="E45" s="16"/>
    </row>
    <row r="46" spans="1:5" x14ac:dyDescent="0.25">
      <c r="A46" s="17"/>
      <c r="B46" s="262"/>
      <c r="C46" s="16"/>
      <c r="D46" s="297"/>
      <c r="E46" s="16"/>
    </row>
    <row r="47" spans="1:5" x14ac:dyDescent="0.25">
      <c r="A47" s="17"/>
      <c r="B47" s="262"/>
      <c r="C47" s="16"/>
      <c r="D47" s="297"/>
      <c r="E47" s="16"/>
    </row>
    <row r="48" spans="1:5" x14ac:dyDescent="0.25">
      <c r="A48" s="17"/>
      <c r="B48" s="262"/>
      <c r="C48" s="16"/>
      <c r="D48" s="297"/>
      <c r="E48" s="16"/>
    </row>
    <row r="49" spans="1:5" x14ac:dyDescent="0.25">
      <c r="A49" s="17"/>
      <c r="B49" s="262"/>
      <c r="C49" s="16"/>
      <c r="D49" s="297"/>
      <c r="E49" s="16"/>
    </row>
    <row r="50" spans="1:5" x14ac:dyDescent="0.25">
      <c r="A50" s="17"/>
      <c r="B50" s="262"/>
      <c r="C50" s="16"/>
      <c r="D50" s="297"/>
      <c r="E50" s="16"/>
    </row>
  </sheetData>
  <sheetProtection sheet="1"/>
  <phoneticPr fontId="0" type="noConversion"/>
  <hyperlinks>
    <hyperlink ref="B2" location="'Input Value'!A1" display="Back to Inputs"/>
    <hyperlink ref="B3" location="'Return On Investment'!A1" display="Forward to Results"/>
    <hyperlink ref="B4" location="Utilities!A1" display="Back to Utilities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RowColHeaders="0" topLeftCell="A26" workbookViewId="0">
      <selection activeCell="C31" sqref="C31"/>
    </sheetView>
  </sheetViews>
  <sheetFormatPr defaultColWidth="9.109375" defaultRowHeight="13.2" x14ac:dyDescent="0.25"/>
  <cols>
    <col min="1" max="1" width="1.6640625" style="29" customWidth="1"/>
    <col min="2" max="2" width="28.5546875" style="29" customWidth="1"/>
    <col min="3" max="3" width="15.6640625" style="29" customWidth="1"/>
    <col min="4" max="4" width="14" style="29" bestFit="1" customWidth="1"/>
    <col min="5" max="14" width="11.6640625" style="29" customWidth="1"/>
    <col min="15" max="16384" width="9.109375" style="29"/>
  </cols>
  <sheetData>
    <row r="1" spans="2:14" ht="8.25" customHeight="1" thickBot="1" x14ac:dyDescent="0.3"/>
    <row r="2" spans="2:14" ht="13.8" thickBot="1" x14ac:dyDescent="0.3">
      <c r="B2" s="50" t="s">
        <v>183</v>
      </c>
      <c r="C2" s="152"/>
    </row>
    <row r="3" spans="2:14" ht="13.8" thickBot="1" x14ac:dyDescent="0.3">
      <c r="B3" s="213" t="s">
        <v>182</v>
      </c>
      <c r="C3" s="152"/>
    </row>
    <row r="4" spans="2:14" ht="13.8" thickBot="1" x14ac:dyDescent="0.3">
      <c r="B4" s="208" t="s">
        <v>185</v>
      </c>
      <c r="C4" s="153"/>
      <c r="D4" s="29">
        <f>D3</f>
        <v>0</v>
      </c>
    </row>
    <row r="6" spans="2:14" x14ac:dyDescent="0.25">
      <c r="B6" s="106" t="s">
        <v>120</v>
      </c>
      <c r="C6" s="154"/>
    </row>
    <row r="7" spans="2:14" x14ac:dyDescent="0.25">
      <c r="B7" s="106" t="s">
        <v>204</v>
      </c>
      <c r="C7" s="154"/>
    </row>
    <row r="8" spans="2:14" x14ac:dyDescent="0.25">
      <c r="B8" s="106"/>
      <c r="C8" s="154"/>
    </row>
    <row r="9" spans="2:14" x14ac:dyDescent="0.25">
      <c r="B9" s="106" t="s">
        <v>54</v>
      </c>
      <c r="C9" s="214">
        <v>0.1</v>
      </c>
      <c r="E9" s="29" t="s">
        <v>460</v>
      </c>
      <c r="F9" s="29">
        <v>0.6</v>
      </c>
      <c r="N9" s="116"/>
    </row>
    <row r="11" spans="2:14" x14ac:dyDescent="0.25">
      <c r="B11" s="139" t="s">
        <v>66</v>
      </c>
      <c r="D11" s="139">
        <v>0</v>
      </c>
      <c r="E11" s="139">
        <v>1</v>
      </c>
      <c r="F11" s="139">
        <v>2</v>
      </c>
      <c r="G11" s="139">
        <v>3</v>
      </c>
      <c r="H11" s="139">
        <v>4</v>
      </c>
      <c r="I11" s="139">
        <v>5</v>
      </c>
      <c r="J11" s="139">
        <v>6</v>
      </c>
      <c r="K11" s="139">
        <v>7</v>
      </c>
      <c r="L11" s="139">
        <v>8</v>
      </c>
      <c r="M11" s="139">
        <v>9</v>
      </c>
      <c r="N11" s="139">
        <v>10</v>
      </c>
    </row>
    <row r="12" spans="2:14" s="135" customFormat="1" x14ac:dyDescent="0.25">
      <c r="B12" s="155" t="s">
        <v>57</v>
      </c>
      <c r="E12" s="135">
        <f>'Market Projection'!E17</f>
        <v>5955767.3896389324</v>
      </c>
      <c r="F12" s="135">
        <f>'Market Projection'!F17</f>
        <v>5955767.3896389324</v>
      </c>
      <c r="G12" s="135">
        <f>'Market Projection'!G17</f>
        <v>5955767.3896389324</v>
      </c>
      <c r="H12" s="135">
        <f>'Market Projection'!H17</f>
        <v>5955767.3896389324</v>
      </c>
      <c r="I12" s="135">
        <f>'Market Projection'!I17</f>
        <v>5955767.3896389324</v>
      </c>
      <c r="J12" s="135">
        <f>'Market Projection'!J17</f>
        <v>5955767.3896389324</v>
      </c>
      <c r="K12" s="135">
        <f>'Market Projection'!K17</f>
        <v>5955767.3896389324</v>
      </c>
      <c r="L12" s="135">
        <f>'Market Projection'!L17</f>
        <v>5955767.3896389324</v>
      </c>
      <c r="M12" s="135">
        <f>'Market Projection'!M17</f>
        <v>5955767.3896389324</v>
      </c>
      <c r="N12" s="135">
        <f>'Market Projection'!N17</f>
        <v>5955767.3896389324</v>
      </c>
    </row>
    <row r="13" spans="2:14" s="157" customFormat="1" x14ac:dyDescent="0.25">
      <c r="B13" s="156" t="s">
        <v>58</v>
      </c>
      <c r="D13" s="157">
        <v>1</v>
      </c>
      <c r="E13" s="157">
        <f>1/((1+$C$9)^E11)</f>
        <v>0.90909090909090906</v>
      </c>
      <c r="F13" s="157">
        <f t="shared" ref="F13:N13" si="0">1/((1+$C$9)^F11)</f>
        <v>0.82644628099173545</v>
      </c>
      <c r="G13" s="157">
        <f t="shared" si="0"/>
        <v>0.75131480090157754</v>
      </c>
      <c r="H13" s="157">
        <f t="shared" si="0"/>
        <v>0.68301345536507052</v>
      </c>
      <c r="I13" s="157">
        <f t="shared" si="0"/>
        <v>0.62092132305915493</v>
      </c>
      <c r="J13" s="157">
        <f t="shared" si="0"/>
        <v>0.56447393005377722</v>
      </c>
      <c r="K13" s="157">
        <f t="shared" si="0"/>
        <v>0.51315811823070645</v>
      </c>
      <c r="L13" s="157">
        <f t="shared" si="0"/>
        <v>0.46650738020973315</v>
      </c>
      <c r="M13" s="157">
        <f t="shared" si="0"/>
        <v>0.42409761837248466</v>
      </c>
      <c r="N13" s="157">
        <f t="shared" si="0"/>
        <v>0.38554328942953148</v>
      </c>
    </row>
    <row r="14" spans="2:14" s="135" customFormat="1" x14ac:dyDescent="0.25">
      <c r="B14" s="155" t="s">
        <v>59</v>
      </c>
      <c r="C14" s="135">
        <f>SUM(D12:N12)</f>
        <v>59557673.896389313</v>
      </c>
      <c r="D14" s="135">
        <f>D12*D13</f>
        <v>0</v>
      </c>
      <c r="E14" s="135">
        <f>E12*E13</f>
        <v>5414333.9905808475</v>
      </c>
      <c r="F14" s="135">
        <f t="shared" ref="F14:N14" si="1">F12*F13</f>
        <v>4922121.8096189518</v>
      </c>
      <c r="G14" s="135">
        <f t="shared" si="1"/>
        <v>4474656.1905626832</v>
      </c>
      <c r="H14" s="135">
        <f t="shared" si="1"/>
        <v>4067869.2641478935</v>
      </c>
      <c r="I14" s="135">
        <f t="shared" si="1"/>
        <v>3698062.9674071753</v>
      </c>
      <c r="J14" s="135">
        <f t="shared" si="1"/>
        <v>3361875.4249156141</v>
      </c>
      <c r="K14" s="135">
        <f t="shared" si="1"/>
        <v>3056250.3862869213</v>
      </c>
      <c r="L14" s="135">
        <f t="shared" si="1"/>
        <v>2778409.4420790193</v>
      </c>
      <c r="M14" s="135">
        <f t="shared" si="1"/>
        <v>2525826.7655263813</v>
      </c>
      <c r="N14" s="135">
        <f t="shared" si="1"/>
        <v>2296206.1504785279</v>
      </c>
    </row>
    <row r="16" spans="2:14" x14ac:dyDescent="0.25">
      <c r="B16" s="106" t="s">
        <v>60</v>
      </c>
      <c r="C16" s="55"/>
      <c r="D16" s="135">
        <f>D19*D20</f>
        <v>5629631</v>
      </c>
      <c r="E16" s="135">
        <f>'Expense Projection'!E77</f>
        <v>4803974.303780105</v>
      </c>
      <c r="F16" s="135">
        <f>'Expense Projection'!E77</f>
        <v>4803974.303780105</v>
      </c>
      <c r="G16" s="135">
        <f>'Expense Projection'!F77</f>
        <v>5185363.4120014384</v>
      </c>
      <c r="H16" s="135">
        <f>'Expense Projection'!G77</f>
        <v>4895091.5579847498</v>
      </c>
      <c r="I16" s="135">
        <f>'Expense Projection'!H77</f>
        <v>4574601.6856896412</v>
      </c>
      <c r="J16" s="135">
        <f>'Expense Projection'!I77</f>
        <v>4566297.3392599579</v>
      </c>
      <c r="K16" s="135">
        <f>'Expense Projection'!J77</f>
        <v>4532580.7759662857</v>
      </c>
      <c r="L16" s="135">
        <f>'Expense Projection'!K77</f>
        <v>4350589.8505374538</v>
      </c>
      <c r="M16" s="135">
        <f>'Expense Projection'!L77</f>
        <v>4192210.9960251958</v>
      </c>
      <c r="N16" s="135">
        <f>'Expense Projection'!M77</f>
        <v>4178444.3503468428</v>
      </c>
    </row>
    <row r="17" spans="1:14" x14ac:dyDescent="0.25">
      <c r="B17" s="106" t="s">
        <v>205</v>
      </c>
      <c r="D17" s="158"/>
      <c r="E17" s="135">
        <f>'Expense Projection'!E61+'Expense Projection'!E63-'Loan Amortization'!$C$29</f>
        <v>811093.55207435903</v>
      </c>
      <c r="F17" s="135">
        <f>'Expense Projection'!F61+'Expense Projection'!F63-'Loan Amortization'!$C$29</f>
        <v>1182231.4717630395</v>
      </c>
      <c r="G17" s="135">
        <f>'Expense Projection'!G61+'Expense Projection'!G63-'Loan Amortization'!$C$29</f>
        <v>881605.91732837143</v>
      </c>
      <c r="H17" s="135">
        <f>'Expense Projection'!H61+'Expense Projection'!H63-'Loan Amortization'!$C$29</f>
        <v>550658.80761110305</v>
      </c>
      <c r="I17" s="135">
        <f>'Expense Projection'!I61+'Expense Projection'!I63-'Loan Amortization'!$C$29</f>
        <v>531792.65138503944</v>
      </c>
      <c r="J17" s="135">
        <f>'Expense Projection'!J61+'Expense Projection'!J63-'Loan Amortization'!$C$29</f>
        <v>487408.66019702132</v>
      </c>
      <c r="K17" s="135">
        <f>'Expense Projection'!K61+'Expense Projection'!K63-'Loan Amortization'!$C$29</f>
        <v>294643.6325949016</v>
      </c>
      <c r="L17" s="135">
        <f>'Expense Projection'!L61+'Expense Projection'!L63-'Loan Amortization'!$C$29</f>
        <v>125382.93488762295</v>
      </c>
      <c r="M17" s="135">
        <f>'Expense Projection'!M61+'Expense Projection'!M63-'Loan Amortization'!$C$29</f>
        <v>100625.62758229845</v>
      </c>
      <c r="N17" s="135">
        <f>'Expense Projection'!N61+'Expense Projection'!N63-'Loan Amortization'!$C$29</f>
        <v>74011.522229074588</v>
      </c>
    </row>
    <row r="18" spans="1:14" x14ac:dyDescent="0.25"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14" x14ac:dyDescent="0.25">
      <c r="B19" s="106" t="s">
        <v>61</v>
      </c>
      <c r="C19" s="34">
        <f>+C16</f>
        <v>0</v>
      </c>
      <c r="D19" s="135">
        <f>+'Input Value'!$C$7</f>
        <v>5629631</v>
      </c>
      <c r="E19" s="135">
        <f>+E16-E17</f>
        <v>3992880.7517057462</v>
      </c>
      <c r="F19" s="135">
        <f t="shared" ref="F19:N19" si="2">+F16-F17</f>
        <v>3621742.8320170655</v>
      </c>
      <c r="G19" s="135">
        <f t="shared" si="2"/>
        <v>4303757.4946730668</v>
      </c>
      <c r="H19" s="135">
        <f t="shared" si="2"/>
        <v>4344432.7503736466</v>
      </c>
      <c r="I19" s="135">
        <f t="shared" si="2"/>
        <v>4042809.0343046016</v>
      </c>
      <c r="J19" s="135">
        <f t="shared" si="2"/>
        <v>4078888.6790629365</v>
      </c>
      <c r="K19" s="135">
        <f t="shared" si="2"/>
        <v>4237937.1433713846</v>
      </c>
      <c r="L19" s="135">
        <f t="shared" si="2"/>
        <v>4225206.9156498313</v>
      </c>
      <c r="M19" s="135">
        <f t="shared" si="2"/>
        <v>4091585.3684428972</v>
      </c>
      <c r="N19" s="135">
        <f t="shared" si="2"/>
        <v>4104432.8281177683</v>
      </c>
    </row>
    <row r="20" spans="1:14" x14ac:dyDescent="0.25">
      <c r="B20" s="106" t="s">
        <v>58</v>
      </c>
      <c r="D20" s="157">
        <v>1</v>
      </c>
      <c r="E20" s="157">
        <f t="shared" ref="E20:N20" si="3">E13</f>
        <v>0.90909090909090906</v>
      </c>
      <c r="F20" s="157">
        <f t="shared" si="3"/>
        <v>0.82644628099173545</v>
      </c>
      <c r="G20" s="157">
        <f t="shared" si="3"/>
        <v>0.75131480090157754</v>
      </c>
      <c r="H20" s="157">
        <f t="shared" si="3"/>
        <v>0.68301345536507052</v>
      </c>
      <c r="I20" s="157">
        <f t="shared" si="3"/>
        <v>0.62092132305915493</v>
      </c>
      <c r="J20" s="157">
        <f t="shared" si="3"/>
        <v>0.56447393005377722</v>
      </c>
      <c r="K20" s="157">
        <f t="shared" si="3"/>
        <v>0.51315811823070645</v>
      </c>
      <c r="L20" s="157">
        <f t="shared" si="3"/>
        <v>0.46650738020973315</v>
      </c>
      <c r="M20" s="157">
        <f t="shared" si="3"/>
        <v>0.42409761837248466</v>
      </c>
      <c r="N20" s="157">
        <f t="shared" si="3"/>
        <v>0.38554328942953148</v>
      </c>
    </row>
    <row r="21" spans="1:14" x14ac:dyDescent="0.25">
      <c r="B21" s="106" t="s">
        <v>62</v>
      </c>
      <c r="C21" s="135">
        <f>SUM(C19:N19)</f>
        <v>46673304.797718942</v>
      </c>
      <c r="D21" s="135">
        <f t="shared" ref="D21:N21" si="4">D19*D20</f>
        <v>5629631</v>
      </c>
      <c r="E21" s="135">
        <f t="shared" si="4"/>
        <v>3629891.592459769</v>
      </c>
      <c r="F21" s="135">
        <f t="shared" si="4"/>
        <v>2993175.8942289795</v>
      </c>
      <c r="G21" s="135">
        <f t="shared" si="4"/>
        <v>3233476.7052389672</v>
      </c>
      <c r="H21" s="135">
        <f t="shared" si="4"/>
        <v>2967306.024433881</v>
      </c>
      <c r="I21" s="135">
        <f t="shared" si="4"/>
        <v>2510266.3344559176</v>
      </c>
      <c r="J21" s="135">
        <f t="shared" si="4"/>
        <v>2302426.3229225157</v>
      </c>
      <c r="K21" s="135">
        <f t="shared" si="4"/>
        <v>2174731.8496724754</v>
      </c>
      <c r="L21" s="135">
        <f t="shared" si="4"/>
        <v>1971090.2090638496</v>
      </c>
      <c r="M21" s="135">
        <f t="shared" si="4"/>
        <v>1735231.610124338</v>
      </c>
      <c r="N21" s="135">
        <f t="shared" si="4"/>
        <v>1582436.5337950792</v>
      </c>
    </row>
    <row r="22" spans="1:14" x14ac:dyDescent="0.25"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</row>
    <row r="23" spans="1:14" x14ac:dyDescent="0.25">
      <c r="B23" s="106" t="s">
        <v>63</v>
      </c>
      <c r="C23" s="135">
        <f t="shared" ref="C23:N23" si="5">C12-C19</f>
        <v>0</v>
      </c>
      <c r="D23" s="135">
        <f t="shared" si="5"/>
        <v>-5629631</v>
      </c>
      <c r="E23" s="135">
        <f t="shared" si="5"/>
        <v>1962886.6379331863</v>
      </c>
      <c r="F23" s="135">
        <f t="shared" si="5"/>
        <v>2334024.5576218669</v>
      </c>
      <c r="G23" s="135">
        <f t="shared" si="5"/>
        <v>1652009.8949658656</v>
      </c>
      <c r="H23" s="135">
        <f t="shared" si="5"/>
        <v>1611334.6392652858</v>
      </c>
      <c r="I23" s="135">
        <f t="shared" si="5"/>
        <v>1912958.3553343308</v>
      </c>
      <c r="J23" s="135">
        <f t="shared" si="5"/>
        <v>1876878.710575996</v>
      </c>
      <c r="K23" s="135">
        <f t="shared" si="5"/>
        <v>1717830.2462675478</v>
      </c>
      <c r="L23" s="135">
        <f t="shared" si="5"/>
        <v>1730560.4739891011</v>
      </c>
      <c r="M23" s="135">
        <f t="shared" si="5"/>
        <v>1864182.0211960352</v>
      </c>
      <c r="N23" s="135">
        <f t="shared" si="5"/>
        <v>1851334.5615211641</v>
      </c>
    </row>
    <row r="24" spans="1:14" x14ac:dyDescent="0.25">
      <c r="B24" s="106" t="s">
        <v>104</v>
      </c>
      <c r="C24" s="135"/>
      <c r="D24" s="135">
        <f>+D14-D21</f>
        <v>-5629631</v>
      </c>
      <c r="E24" s="135">
        <f t="shared" ref="E24:N24" si="6">+E14-E21</f>
        <v>1784442.3981210785</v>
      </c>
      <c r="F24" s="135">
        <f t="shared" si="6"/>
        <v>1928945.9153899723</v>
      </c>
      <c r="G24" s="135">
        <f t="shared" si="6"/>
        <v>1241179.485323716</v>
      </c>
      <c r="H24" s="135">
        <f t="shared" si="6"/>
        <v>1100563.2397140125</v>
      </c>
      <c r="I24" s="135">
        <f t="shared" si="6"/>
        <v>1187796.6329512578</v>
      </c>
      <c r="J24" s="135">
        <f t="shared" si="6"/>
        <v>1059449.1019930984</v>
      </c>
      <c r="K24" s="135">
        <f t="shared" si="6"/>
        <v>881518.53661444597</v>
      </c>
      <c r="L24" s="135">
        <f t="shared" si="6"/>
        <v>807319.23301516962</v>
      </c>
      <c r="M24" s="135">
        <f t="shared" si="6"/>
        <v>790595.15540204337</v>
      </c>
      <c r="N24" s="135">
        <f t="shared" si="6"/>
        <v>713769.61668344866</v>
      </c>
    </row>
    <row r="25" spans="1:14" ht="13.8" thickBot="1" x14ac:dyDescent="0.3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 x14ac:dyDescent="0.25">
      <c r="B26" s="106" t="s">
        <v>102</v>
      </c>
      <c r="C26" s="184">
        <f>SUM(C14:N14)</f>
        <v>96153286.287993327</v>
      </c>
    </row>
    <row r="27" spans="1:14" x14ac:dyDescent="0.25">
      <c r="B27" s="106" t="s">
        <v>103</v>
      </c>
      <c r="C27" s="184">
        <f>SUM(C21:N21)</f>
        <v>77402968.874114707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14" x14ac:dyDescent="0.25">
      <c r="B28" s="106" t="s">
        <v>64</v>
      </c>
      <c r="C28" s="452">
        <f>C26-C27</f>
        <v>18750317.41387862</v>
      </c>
    </row>
    <row r="29" spans="1:14" x14ac:dyDescent="0.25">
      <c r="B29" s="106" t="s">
        <v>65</v>
      </c>
      <c r="C29" s="159">
        <f>IRR(D23:N23)</f>
        <v>0.31862227339781835</v>
      </c>
    </row>
    <row r="30" spans="1:14" x14ac:dyDescent="0.25">
      <c r="B30" s="106" t="s">
        <v>121</v>
      </c>
      <c r="C30" s="166">
        <f>C26/C27</f>
        <v>1.2422428711277655</v>
      </c>
    </row>
    <row r="31" spans="1:14" x14ac:dyDescent="0.25">
      <c r="A31" s="36"/>
      <c r="B31" s="70" t="s">
        <v>201</v>
      </c>
      <c r="C31" s="167">
        <f>IF(MIN(C77:L77)&gt;0,(MIN(C77:L77)),"")</f>
        <v>3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4" x14ac:dyDescent="0.25">
      <c r="A32" s="169"/>
      <c r="B32" s="171" t="s">
        <v>203</v>
      </c>
      <c r="C32" s="169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</row>
    <row r="33" spans="1:14" x14ac:dyDescent="0.25"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</row>
    <row r="34" spans="1:14" x14ac:dyDescent="0.25">
      <c r="B34" s="72" t="s">
        <v>401</v>
      </c>
      <c r="D34" s="160"/>
      <c r="E34" s="160">
        <f>'Operations Summary'!D24/('Input Value'!$C$7)</f>
        <v>0.122756864795454</v>
      </c>
      <c r="F34" s="160">
        <f>'Operations Summary'!E24/('Input Value'!$C$7)</f>
        <v>8.2108824998032098E-2</v>
      </c>
      <c r="G34" s="160">
        <f>'Operations Summary'!F24/('Input Value'!$C$7)</f>
        <v>0.11304568611912745</v>
      </c>
      <c r="H34" s="160">
        <f>'Operations Summary'!G24/('Input Value'!$C$7)</f>
        <v>0.14720315103593376</v>
      </c>
      <c r="I34" s="160">
        <f>'Operations Summary'!H24/('Input Value'!$C$7)</f>
        <v>0.14808821932154784</v>
      </c>
      <c r="J34" s="160">
        <f>'Operations Summary'!I24/('Input Value'!$C$7)</f>
        <v>0.15168169427154071</v>
      </c>
      <c r="K34" s="160">
        <f>'Operations Summary'!J24/('Input Value'!$C$7)</f>
        <v>0.17107809081285916</v>
      </c>
      <c r="L34" s="160">
        <f>'Operations Summary'!K24/('Input Value'!$C$7)</f>
        <v>0.18795793830328167</v>
      </c>
      <c r="M34" s="160">
        <f>'Operations Summary'!L24/('Input Value'!$C$7)</f>
        <v>0.18942517255131888</v>
      </c>
      <c r="N34" s="160">
        <f>'Operations Summary'!M24/('Input Value'!$C$7)</f>
        <v>0.19107858860398547</v>
      </c>
    </row>
    <row r="35" spans="1:14" x14ac:dyDescent="0.25">
      <c r="B35" s="161" t="s">
        <v>163</v>
      </c>
    </row>
    <row r="36" spans="1:14" x14ac:dyDescent="0.25">
      <c r="B36" s="106" t="s">
        <v>367</v>
      </c>
      <c r="C36" s="112">
        <f>AVERAGE(D34:N34)</f>
        <v>0.15044242308130812</v>
      </c>
    </row>
    <row r="37" spans="1:14" ht="13.8" thickBot="1" x14ac:dyDescent="0.3">
      <c r="A37" s="87"/>
      <c r="B37" s="399" t="s">
        <v>461</v>
      </c>
      <c r="C37" s="400"/>
      <c r="D37" s="400"/>
      <c r="E37" s="400">
        <f>+'Operations Summary'!D24/('Input Value'!$C$7-'Input Value'!$C$8)</f>
        <v>0.245513729590908</v>
      </c>
      <c r="F37" s="400">
        <f>+'Operations Summary'!E24/('Input Value'!$C$7-'Input Value'!$C$8)</f>
        <v>0.1642176499960642</v>
      </c>
      <c r="G37" s="400">
        <f>+'Operations Summary'!F24/('Input Value'!$C$7-'Input Value'!$C$8)</f>
        <v>0.2260913722382549</v>
      </c>
      <c r="H37" s="400">
        <f>+'Operations Summary'!G24/('Input Value'!$C$7-'Input Value'!$C$8)</f>
        <v>0.29440630207186752</v>
      </c>
      <c r="I37" s="400">
        <f>+'Operations Summary'!H24/('Input Value'!$C$7-'Input Value'!$C$8)</f>
        <v>0.29617643864309567</v>
      </c>
      <c r="J37" s="400">
        <f>+'Operations Summary'!I24/('Input Value'!$C$7-'Input Value'!$C$8)</f>
        <v>0.30336338854308142</v>
      </c>
      <c r="K37" s="400">
        <f>+'Operations Summary'!J24/('Input Value'!$C$7-'Input Value'!$C$8)</f>
        <v>0.34215618162571831</v>
      </c>
      <c r="L37" s="400">
        <f>+'Operations Summary'!K24/('Input Value'!$C$7-'Input Value'!$C$8)</f>
        <v>0.37591587660656334</v>
      </c>
      <c r="M37" s="400">
        <f>+'Operations Summary'!L24/('Input Value'!$C$7-'Input Value'!$C$8)</f>
        <v>0.37885034510263776</v>
      </c>
      <c r="N37" s="400">
        <f>+'Operations Summary'!M24/('Input Value'!$C$7-'Input Value'!$C$8)</f>
        <v>0.38215717720797093</v>
      </c>
    </row>
    <row r="38" spans="1:14" ht="13.8" thickBot="1" x14ac:dyDescent="0.3">
      <c r="A38" s="36"/>
      <c r="B38" s="70" t="s">
        <v>382</v>
      </c>
      <c r="C38" s="401">
        <f>AVERAGE(C37:N37)</f>
        <v>0.30088484616261624</v>
      </c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</row>
    <row r="39" spans="1:14" x14ac:dyDescent="0.25">
      <c r="B39" s="163"/>
      <c r="C39" s="64" t="s">
        <v>165</v>
      </c>
      <c r="D39" s="64" t="s">
        <v>166</v>
      </c>
      <c r="E39" s="64" t="s">
        <v>167</v>
      </c>
      <c r="F39" s="64" t="s">
        <v>383</v>
      </c>
      <c r="G39" s="405" t="s">
        <v>384</v>
      </c>
      <c r="H39" s="82" t="s">
        <v>385</v>
      </c>
    </row>
    <row r="40" spans="1:14" x14ac:dyDescent="0.25">
      <c r="B40" s="66" t="s">
        <v>376</v>
      </c>
      <c r="C40" s="453">
        <f>+C$28</f>
        <v>18750317.41387862</v>
      </c>
      <c r="D40" s="471">
        <f>+C$29</f>
        <v>0.31862227339781835</v>
      </c>
      <c r="E40" s="472">
        <f>+C$30</f>
        <v>1.2422428711277655</v>
      </c>
      <c r="F40" s="471">
        <f>+C$36</f>
        <v>0.15044242308130812</v>
      </c>
      <c r="G40" s="67">
        <f>+C$38</f>
        <v>0.30088484616261624</v>
      </c>
      <c r="H40" s="460">
        <f>+C$31</f>
        <v>3</v>
      </c>
      <c r="I40" s="63"/>
      <c r="J40" s="63"/>
    </row>
    <row r="41" spans="1:14" x14ac:dyDescent="0.25">
      <c r="B41" s="66" t="s">
        <v>402</v>
      </c>
      <c r="C41" s="453">
        <v>6954870.0346159488</v>
      </c>
      <c r="D41" s="471">
        <v>0.15677457960876143</v>
      </c>
      <c r="E41" s="472">
        <v>1.0641084744314753</v>
      </c>
      <c r="F41" s="471">
        <v>7.2738902807052155E-2</v>
      </c>
      <c r="G41" s="67">
        <v>0.14547780561410431</v>
      </c>
      <c r="H41" s="460">
        <v>6</v>
      </c>
      <c r="I41" s="63"/>
      <c r="J41" s="63"/>
    </row>
    <row r="42" spans="1:14" x14ac:dyDescent="0.25">
      <c r="B42" s="69" t="s">
        <v>377</v>
      </c>
      <c r="C42" s="453">
        <v>8296242.5716249496</v>
      </c>
      <c r="D42" s="67">
        <v>0.17665800570496878</v>
      </c>
      <c r="E42" s="393">
        <v>1.0742913680992918</v>
      </c>
      <c r="F42" s="67">
        <v>8.1593619849499643E-2</v>
      </c>
      <c r="G42" s="421">
        <v>0.16318723969899929</v>
      </c>
      <c r="H42" s="460">
        <v>5</v>
      </c>
      <c r="I42" s="63"/>
      <c r="J42" s="63"/>
    </row>
    <row r="43" spans="1:14" x14ac:dyDescent="0.25">
      <c r="B43" s="117" t="s">
        <v>378</v>
      </c>
      <c r="C43" s="454">
        <v>8966928.84012945</v>
      </c>
      <c r="D43" s="417">
        <v>0.18640131077256422</v>
      </c>
      <c r="E43" s="418">
        <v>1.0791680091499878</v>
      </c>
      <c r="F43" s="419">
        <v>8.6020978370723117E-2</v>
      </c>
      <c r="G43" s="422">
        <v>0.17204195674144623</v>
      </c>
      <c r="H43" s="461">
        <v>5</v>
      </c>
      <c r="I43" s="63"/>
      <c r="J43" s="63"/>
    </row>
    <row r="44" spans="1:14" x14ac:dyDescent="0.25">
      <c r="B44" s="387" t="s">
        <v>379</v>
      </c>
      <c r="C44" s="455">
        <v>9637615.1086339802</v>
      </c>
      <c r="D44" s="165">
        <v>0.19602483013274546</v>
      </c>
      <c r="E44" s="383">
        <v>1.0839093902346317</v>
      </c>
      <c r="F44" s="403">
        <v>9.0448336891947326E-2</v>
      </c>
      <c r="G44" s="421">
        <v>0.18089667378389465</v>
      </c>
      <c r="H44" s="446">
        <v>5</v>
      </c>
      <c r="I44" s="386"/>
      <c r="J44" s="299"/>
    </row>
    <row r="45" spans="1:14" ht="13.8" thickBot="1" x14ac:dyDescent="0.3">
      <c r="B45" s="388" t="s">
        <v>380</v>
      </c>
      <c r="C45" s="456">
        <v>10308301.37713851</v>
      </c>
      <c r="D45" s="398">
        <v>0.20553682401582629</v>
      </c>
      <c r="E45" s="390">
        <v>1.0885210617948231</v>
      </c>
      <c r="F45" s="406">
        <v>9.4875695413170799E-2</v>
      </c>
      <c r="G45" s="423">
        <v>0.1897513908263416</v>
      </c>
      <c r="H45" s="447">
        <v>5</v>
      </c>
      <c r="I45" s="386"/>
      <c r="J45" s="299"/>
    </row>
    <row r="46" spans="1:14" ht="13.8" thickBot="1" x14ac:dyDescent="0.3">
      <c r="B46" s="85">
        <f>+Efficiency!H10</f>
        <v>48877.714285714283</v>
      </c>
      <c r="C46" s="455">
        <f>+C28</f>
        <v>18750317.41387862</v>
      </c>
      <c r="D46" s="165">
        <f>+C29</f>
        <v>0.31862227339781835</v>
      </c>
      <c r="E46" s="383">
        <f>+C30</f>
        <v>1.2422428711277655</v>
      </c>
      <c r="F46" s="440">
        <f>+C36</f>
        <v>0.15044242308130812</v>
      </c>
      <c r="G46" s="441">
        <f>+C38</f>
        <v>0.30088484616261624</v>
      </c>
      <c r="H46" s="448">
        <f>+C31</f>
        <v>3</v>
      </c>
      <c r="I46" s="386"/>
      <c r="J46" s="299"/>
    </row>
    <row r="47" spans="1:14" x14ac:dyDescent="0.25">
      <c r="B47" s="394"/>
      <c r="C47" s="457" t="s">
        <v>165</v>
      </c>
      <c r="D47" s="395" t="s">
        <v>166</v>
      </c>
      <c r="E47" s="396" t="s">
        <v>167</v>
      </c>
      <c r="F47" s="405" t="s">
        <v>383</v>
      </c>
      <c r="G47" s="405" t="s">
        <v>384</v>
      </c>
      <c r="H47" s="449" t="s">
        <v>385</v>
      </c>
      <c r="I47" s="386"/>
      <c r="J47" s="299"/>
    </row>
    <row r="48" spans="1:14" x14ac:dyDescent="0.25">
      <c r="B48" s="397" t="s">
        <v>414</v>
      </c>
      <c r="C48" s="455"/>
      <c r="D48" s="165"/>
      <c r="E48" s="383"/>
      <c r="F48" s="63"/>
      <c r="G48" s="280"/>
      <c r="H48" s="446"/>
      <c r="I48" s="386"/>
      <c r="J48" s="299"/>
    </row>
    <row r="49" spans="2:10" x14ac:dyDescent="0.25">
      <c r="B49" s="442" t="s">
        <v>463</v>
      </c>
      <c r="C49" s="455">
        <v>3975119.7970012724</v>
      </c>
      <c r="D49" s="165">
        <v>0.11020483749073676</v>
      </c>
      <c r="E49" s="383">
        <v>1.0406103318976943</v>
      </c>
      <c r="F49" s="403">
        <v>5.3150666666952742E-2</v>
      </c>
      <c r="G49" s="403">
        <v>0.10630133333390548</v>
      </c>
      <c r="H49" s="446">
        <v>7</v>
      </c>
      <c r="I49" s="386"/>
      <c r="J49" s="299"/>
    </row>
    <row r="50" spans="2:10" x14ac:dyDescent="0.25">
      <c r="B50" s="443" t="s">
        <v>462</v>
      </c>
      <c r="C50" s="454">
        <v>8966928.84012945</v>
      </c>
      <c r="D50" s="417">
        <v>0.18640131077256422</v>
      </c>
      <c r="E50" s="418">
        <v>1.0791680091499878</v>
      </c>
      <c r="F50" s="419">
        <v>8.6020978370723117E-2</v>
      </c>
      <c r="G50" s="422">
        <v>0.17204195674144623</v>
      </c>
      <c r="H50" s="450">
        <v>5</v>
      </c>
      <c r="I50" s="386"/>
      <c r="J50" s="299"/>
    </row>
    <row r="51" spans="2:10" x14ac:dyDescent="0.25">
      <c r="B51" s="444" t="s">
        <v>464</v>
      </c>
      <c r="C51" s="455">
        <v>11462833.361693606</v>
      </c>
      <c r="D51" s="165">
        <v>0.22175535014148226</v>
      </c>
      <c r="E51" s="383">
        <v>1.0947697176056719</v>
      </c>
      <c r="F51" s="403">
        <v>0.10245613422260895</v>
      </c>
      <c r="G51" s="403">
        <v>0.2049122684452179</v>
      </c>
      <c r="H51" s="446">
        <v>5</v>
      </c>
      <c r="I51" s="386"/>
      <c r="J51" s="299"/>
    </row>
    <row r="52" spans="2:10" ht="13.8" thickBot="1" x14ac:dyDescent="0.3">
      <c r="B52" s="445" t="s">
        <v>415</v>
      </c>
      <c r="C52" s="456">
        <v>13958737.883257747</v>
      </c>
      <c r="D52" s="389">
        <v>0.25583610739563928</v>
      </c>
      <c r="E52" s="390">
        <v>1.1085061647231627</v>
      </c>
      <c r="F52" s="406">
        <v>0.11889129007449417</v>
      </c>
      <c r="G52" s="406">
        <v>0.23778258014898834</v>
      </c>
      <c r="H52" s="462">
        <v>4</v>
      </c>
      <c r="I52" s="63"/>
      <c r="J52" s="63"/>
    </row>
    <row r="53" spans="2:10" x14ac:dyDescent="0.25">
      <c r="B53" s="85" t="s">
        <v>465</v>
      </c>
      <c r="C53" s="455"/>
      <c r="D53" s="165"/>
      <c r="E53" s="383"/>
      <c r="F53" s="63"/>
      <c r="G53" s="63"/>
      <c r="H53" s="463"/>
      <c r="I53" s="63"/>
      <c r="J53" s="63"/>
    </row>
    <row r="54" spans="2:10" x14ac:dyDescent="0.25">
      <c r="B54" s="407" t="s">
        <v>386</v>
      </c>
      <c r="C54" s="458" t="s">
        <v>165</v>
      </c>
      <c r="D54" s="409" t="s">
        <v>166</v>
      </c>
      <c r="E54" s="410" t="s">
        <v>167</v>
      </c>
      <c r="F54" s="411" t="s">
        <v>383</v>
      </c>
      <c r="G54" s="411" t="s">
        <v>384</v>
      </c>
      <c r="H54" s="464" t="s">
        <v>385</v>
      </c>
      <c r="I54" s="63"/>
      <c r="J54" s="63"/>
    </row>
    <row r="55" spans="2:10" x14ac:dyDescent="0.25">
      <c r="B55" s="485">
        <f>+'Input Value'!F32-'Input Value'!I12</f>
        <v>10</v>
      </c>
      <c r="C55" s="453">
        <f>+C$28</f>
        <v>18750317.41387862</v>
      </c>
      <c r="D55" s="392">
        <f>+C$29</f>
        <v>0.31862227339781835</v>
      </c>
      <c r="E55" s="402">
        <f>+C$30</f>
        <v>1.2422428711277655</v>
      </c>
      <c r="F55" s="392">
        <f>+C$36</f>
        <v>0.15044242308130812</v>
      </c>
      <c r="G55" s="67">
        <f>+C$38</f>
        <v>0.30088484616261624</v>
      </c>
      <c r="H55" s="465">
        <f>+C$31</f>
        <v>3</v>
      </c>
      <c r="I55" s="383"/>
      <c r="J55" s="63"/>
    </row>
    <row r="56" spans="2:10" x14ac:dyDescent="0.25">
      <c r="B56" s="420">
        <v>20</v>
      </c>
      <c r="C56" s="454">
        <v>8966928.84012945</v>
      </c>
      <c r="D56" s="417">
        <v>0.18640131077256422</v>
      </c>
      <c r="E56" s="418">
        <v>1.0791680091499878</v>
      </c>
      <c r="F56" s="84">
        <v>8.6020978370723117E-2</v>
      </c>
      <c r="G56" s="84">
        <v>0.17204195674144623</v>
      </c>
      <c r="H56" s="466">
        <v>5</v>
      </c>
      <c r="I56" s="383"/>
      <c r="J56" s="63"/>
    </row>
    <row r="57" spans="2:10" x14ac:dyDescent="0.25">
      <c r="B57" s="412">
        <v>15</v>
      </c>
      <c r="C57" s="455">
        <v>5667417.612477392</v>
      </c>
      <c r="D57" s="165">
        <v>0.13712662145338039</v>
      </c>
      <c r="E57" s="383">
        <v>1.048620626361626</v>
      </c>
      <c r="F57" s="67">
        <v>6.4239140209938067E-2</v>
      </c>
      <c r="G57" s="404">
        <v>0.12847828041987613</v>
      </c>
      <c r="H57" s="467">
        <v>6</v>
      </c>
      <c r="I57" s="383"/>
      <c r="J57" s="63"/>
    </row>
    <row r="58" spans="2:10" x14ac:dyDescent="0.25">
      <c r="B58" s="412">
        <v>10</v>
      </c>
      <c r="C58" s="455">
        <v>2367906.3848253787</v>
      </c>
      <c r="D58" s="165">
        <v>8.3517509295444645E-2</v>
      </c>
      <c r="E58" s="383">
        <v>1.0197550127944497</v>
      </c>
      <c r="F58" s="67">
        <v>4.2457302049152934E-2</v>
      </c>
      <c r="G58" s="67">
        <v>8.4914604098305868E-2</v>
      </c>
      <c r="H58" s="467" t="s">
        <v>387</v>
      </c>
      <c r="I58" s="383"/>
      <c r="J58" s="63"/>
    </row>
    <row r="59" spans="2:10" x14ac:dyDescent="0.25">
      <c r="B59" s="413">
        <v>5</v>
      </c>
      <c r="C59" s="459">
        <v>-931604.84282661974</v>
      </c>
      <c r="D59" s="414">
        <v>2.3022497653739094E-2</v>
      </c>
      <c r="E59" s="415">
        <v>0.99243600579306057</v>
      </c>
      <c r="F59" s="416">
        <v>2.0675463888367891E-2</v>
      </c>
      <c r="G59" s="416">
        <v>4.1350927776735782E-2</v>
      </c>
      <c r="H59" s="468" t="s">
        <v>387</v>
      </c>
      <c r="I59" s="383"/>
      <c r="J59" s="63"/>
    </row>
    <row r="60" spans="2:10" x14ac:dyDescent="0.25">
      <c r="B60" s="385"/>
      <c r="C60" s="164"/>
      <c r="D60" s="165"/>
      <c r="E60" s="383"/>
      <c r="F60" s="63"/>
      <c r="G60" s="63"/>
      <c r="H60" s="463"/>
      <c r="I60" s="63"/>
      <c r="J60" s="63"/>
    </row>
    <row r="61" spans="2:10" x14ac:dyDescent="0.25">
      <c r="B61" s="407" t="s">
        <v>18</v>
      </c>
      <c r="C61" s="408" t="s">
        <v>165</v>
      </c>
      <c r="D61" s="409" t="s">
        <v>166</v>
      </c>
      <c r="E61" s="410" t="s">
        <v>167</v>
      </c>
      <c r="F61" s="411" t="s">
        <v>383</v>
      </c>
      <c r="G61" s="411" t="s">
        <v>384</v>
      </c>
      <c r="H61" s="464" t="s">
        <v>385</v>
      </c>
      <c r="I61" s="63"/>
      <c r="J61" s="63"/>
    </row>
    <row r="62" spans="2:10" x14ac:dyDescent="0.25">
      <c r="B62" s="451">
        <f>+'Input Value'!C5</f>
        <v>7.4999999999999997E-2</v>
      </c>
      <c r="C62" s="391">
        <f>+C$28</f>
        <v>18750317.41387862</v>
      </c>
      <c r="D62" s="392">
        <f>+C$29</f>
        <v>0.31862227339781835</v>
      </c>
      <c r="E62" s="402">
        <f>+C$30</f>
        <v>1.2422428711277655</v>
      </c>
      <c r="F62" s="392">
        <f>+C$36</f>
        <v>0.15044242308130812</v>
      </c>
      <c r="G62" s="67">
        <f>+C$38</f>
        <v>0.30088484616261624</v>
      </c>
      <c r="H62" s="465">
        <f>+C$31</f>
        <v>3</v>
      </c>
      <c r="I62" s="63"/>
      <c r="J62" s="63"/>
    </row>
    <row r="63" spans="2:10" x14ac:dyDescent="0.25">
      <c r="B63" s="424">
        <v>6.5000000000000002E-2</v>
      </c>
      <c r="C63" s="94">
        <v>9002864.398467198</v>
      </c>
      <c r="D63" s="403">
        <v>0.18682087009671608</v>
      </c>
      <c r="E63" s="403">
        <v>1.0795105065437112</v>
      </c>
      <c r="F63" s="403">
        <v>8.7995349581859506E-2</v>
      </c>
      <c r="G63" s="403">
        <v>0.17599069916371901</v>
      </c>
      <c r="H63" s="465">
        <v>5</v>
      </c>
      <c r="I63" s="63"/>
      <c r="J63" s="63"/>
    </row>
    <row r="64" spans="2:10" x14ac:dyDescent="0.25">
      <c r="B64" s="425">
        <v>7.4999999999999997E-2</v>
      </c>
      <c r="C64" s="115">
        <v>8966928.84012945</v>
      </c>
      <c r="D64" s="419">
        <v>0.18640131077256422</v>
      </c>
      <c r="E64" s="419">
        <v>1.0791680091499878</v>
      </c>
      <c r="F64" s="419">
        <v>8.6020978370723117E-2</v>
      </c>
      <c r="G64" s="419">
        <v>0.17204195674144623</v>
      </c>
      <c r="H64" s="469">
        <v>5</v>
      </c>
      <c r="I64" s="63"/>
      <c r="J64" s="63"/>
    </row>
    <row r="65" spans="2:15" x14ac:dyDescent="0.25">
      <c r="B65" s="424">
        <v>8.5000000000000006E-2</v>
      </c>
      <c r="C65" s="94">
        <v>8931579.6184978038</v>
      </c>
      <c r="D65" s="403">
        <v>0.18599529530427308</v>
      </c>
      <c r="E65" s="403">
        <v>1.0788313120321547</v>
      </c>
      <c r="F65" s="403">
        <v>8.4004445065884156E-2</v>
      </c>
      <c r="G65" s="403">
        <v>0.16800889013176831</v>
      </c>
      <c r="H65" s="465">
        <v>5</v>
      </c>
      <c r="I65" s="63"/>
      <c r="J65" s="63"/>
    </row>
    <row r="66" spans="2:15" x14ac:dyDescent="0.25">
      <c r="B66" s="426">
        <v>9.5000000000000001E-2</v>
      </c>
      <c r="C66" s="427">
        <v>8896813.1365908831</v>
      </c>
      <c r="D66" s="428">
        <v>0.1856024325784032</v>
      </c>
      <c r="E66" s="428">
        <v>1.0785003703080454</v>
      </c>
      <c r="F66" s="428">
        <v>8.1946911099450362E-2</v>
      </c>
      <c r="G66" s="428">
        <v>0.16389382219890072</v>
      </c>
      <c r="H66" s="470">
        <v>5</v>
      </c>
      <c r="I66" s="63"/>
      <c r="J66" s="63"/>
    </row>
    <row r="67" spans="2:15" x14ac:dyDescent="0.25">
      <c r="I67" s="63"/>
      <c r="J67" s="63"/>
    </row>
    <row r="68" spans="2:15" x14ac:dyDescent="0.25">
      <c r="B68" s="72"/>
      <c r="C68" s="63"/>
      <c r="D68" s="63"/>
      <c r="E68" s="63"/>
      <c r="F68" s="63"/>
      <c r="G68" s="63"/>
      <c r="H68" s="63"/>
      <c r="I68" s="63"/>
      <c r="J68" s="63"/>
    </row>
    <row r="69" spans="2:15" x14ac:dyDescent="0.25">
      <c r="B69" s="72"/>
      <c r="C69" s="63"/>
      <c r="D69" s="63"/>
      <c r="E69" s="63"/>
      <c r="F69" s="63"/>
      <c r="G69" s="63"/>
      <c r="H69" s="63"/>
      <c r="I69" s="63"/>
      <c r="J69" s="63"/>
    </row>
    <row r="70" spans="2:15" x14ac:dyDescent="0.25">
      <c r="B70" s="384"/>
      <c r="C70" s="63"/>
      <c r="D70" s="63"/>
      <c r="E70" s="63"/>
      <c r="F70" s="63"/>
      <c r="G70" s="63"/>
      <c r="H70" s="63"/>
      <c r="I70" s="63"/>
      <c r="J70" s="63"/>
    </row>
    <row r="71" spans="2:15" x14ac:dyDescent="0.25">
      <c r="B71" s="384"/>
      <c r="C71" s="63"/>
      <c r="D71" s="63"/>
      <c r="E71" s="63"/>
      <c r="F71" s="63"/>
      <c r="G71" s="63"/>
      <c r="H71" s="63"/>
      <c r="I71" s="63"/>
      <c r="J71" s="63"/>
    </row>
    <row r="72" spans="2:15" x14ac:dyDescent="0.25">
      <c r="B72" s="106"/>
    </row>
    <row r="73" spans="2:15" x14ac:dyDescent="0.25">
      <c r="B73" s="106"/>
    </row>
    <row r="76" spans="2:15" x14ac:dyDescent="0.25">
      <c r="C76" s="29">
        <v>1</v>
      </c>
      <c r="D76" s="29">
        <v>2</v>
      </c>
      <c r="E76" s="29">
        <v>3</v>
      </c>
      <c r="F76" s="29">
        <v>4</v>
      </c>
      <c r="G76" s="29">
        <v>5</v>
      </c>
      <c r="H76" s="29">
        <v>6</v>
      </c>
      <c r="I76" s="29">
        <v>7</v>
      </c>
      <c r="J76" s="29">
        <v>8</v>
      </c>
      <c r="K76" s="29">
        <v>9</v>
      </c>
      <c r="L76" s="29">
        <v>10</v>
      </c>
    </row>
    <row r="77" spans="2:15" x14ac:dyDescent="0.25">
      <c r="B77" s="29" t="s">
        <v>202</v>
      </c>
      <c r="C77" s="29" t="str">
        <f>IF(SUM('Operations Summary'!$D33:D33)&gt;('Input Value'!$C$7-'Input Value'!$C$8),1,"")</f>
        <v/>
      </c>
      <c r="D77" s="29" t="str">
        <f>IF(SUM('Operations Summary'!$D33:E33)&gt;('Input Value'!$C$7-'Input Value'!$C$8),2,"")</f>
        <v/>
      </c>
      <c r="E77" s="29">
        <f>IF(SUM('Operations Summary'!$D33:F33)&gt;('Input Value'!$C$7-'Input Value'!$C$8),3,"")</f>
        <v>3</v>
      </c>
      <c r="F77" s="29">
        <f>IF(SUM('Operations Summary'!$D33:G33)&gt;('Input Value'!$C$7-'Input Value'!$C$8),4,"")</f>
        <v>4</v>
      </c>
      <c r="G77" s="29">
        <f>IF(SUM('Operations Summary'!$D33:H33)&gt;('Input Value'!$C$7-'Input Value'!$C$8),5,"")</f>
        <v>5</v>
      </c>
      <c r="H77" s="29">
        <f>IF(SUM('Operations Summary'!$D33:I33)&gt;('Input Value'!$C$7-'Input Value'!$C$8),6,"")</f>
        <v>6</v>
      </c>
      <c r="I77" s="29">
        <f>IF(SUM('Operations Summary'!$D33:J33)&gt;('Input Value'!$C$7-'Input Value'!$C$8),7,"")</f>
        <v>7</v>
      </c>
      <c r="J77" s="29">
        <f>IF(SUM('Operations Summary'!$D33:K33)&gt;('Input Value'!$C$7-'Input Value'!$C$8),8,"")</f>
        <v>8</v>
      </c>
      <c r="K77" s="29">
        <f>IF(SUM('Operations Summary'!$D33:L33)&gt;('Input Value'!$C$7-'Input Value'!$C$8),9,"")</f>
        <v>9</v>
      </c>
      <c r="L77" s="29">
        <f>IF(SUM('Operations Summary'!$D33:M33)&gt;('Input Value'!$C$7-'Input Value'!$C$8),10,"")</f>
        <v>10</v>
      </c>
      <c r="M77" s="29">
        <f>IF(SUM('Operations Summary'!$D33:N33)&gt;'Input Value'!$C$7,1,"")</f>
        <v>1</v>
      </c>
      <c r="N77" s="29">
        <f>IF(SUM('Operations Summary'!$D33:O33)&gt;'Input Value'!$C$7,1,"")</f>
        <v>1</v>
      </c>
      <c r="O77" s="29">
        <f>IF(SUM('Operations Summary'!$D33:P33)&gt;'Input Value'!$C$7,1,"")</f>
        <v>1</v>
      </c>
    </row>
  </sheetData>
  <sheetProtection sheet="1"/>
  <phoneticPr fontId="0" type="noConversion"/>
  <hyperlinks>
    <hyperlink ref="B3" location="'Input Value'!A1" display="BACK TO INPUTS"/>
    <hyperlink ref="B4" location="'Return On Investment'!A1" display="FORWARD TO RESULTS"/>
    <hyperlink ref="B4:C4" location="Introduction!A1" display="BACK TO INTRODUCTION"/>
  </hyperlinks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00"/>
  <sheetViews>
    <sheetView zoomScale="92" workbookViewId="0">
      <selection activeCell="B26" sqref="B26"/>
    </sheetView>
  </sheetViews>
  <sheetFormatPr defaultColWidth="9.109375" defaultRowHeight="13.2" x14ac:dyDescent="0.25"/>
  <cols>
    <col min="1" max="1" width="1.88671875" style="29" customWidth="1"/>
    <col min="2" max="2" width="31.44140625" style="29" customWidth="1"/>
    <col min="3" max="3" width="13" style="29" bestFit="1" customWidth="1"/>
    <col min="4" max="4" width="3.33203125" style="58" customWidth="1"/>
    <col min="5" max="5" width="31.5546875" style="58" customWidth="1"/>
    <col min="6" max="6" width="15.88671875" style="58" bestFit="1" customWidth="1"/>
    <col min="7" max="7" width="2.88671875" style="29" customWidth="1"/>
    <col min="8" max="8" width="16.44140625" style="29" customWidth="1"/>
    <col min="9" max="9" width="14.109375" style="59" bestFit="1" customWidth="1"/>
    <col min="10" max="10" width="27.6640625" style="29" bestFit="1" customWidth="1"/>
    <col min="11" max="11" width="9" style="29" customWidth="1"/>
    <col min="12" max="12" width="9.109375" style="29"/>
    <col min="13" max="13" width="9.109375" style="59"/>
    <col min="14" max="14" width="23.33203125" style="29" bestFit="1" customWidth="1"/>
    <col min="15" max="15" width="11.6640625" style="29" bestFit="1" customWidth="1"/>
    <col min="16" max="16" width="9.109375" style="29"/>
    <col min="17" max="17" width="9.109375" style="59"/>
    <col min="18" max="18" width="19.5546875" style="29" bestFit="1" customWidth="1"/>
    <col min="19" max="19" width="15.33203125" style="29" customWidth="1"/>
    <col min="20" max="20" width="12" style="29" customWidth="1"/>
    <col min="21" max="21" width="12.109375" style="29" customWidth="1"/>
    <col min="22" max="22" width="9.109375" style="29"/>
    <col min="23" max="23" width="9.109375" style="59"/>
    <col min="24" max="24" width="40.109375" style="29" bestFit="1" customWidth="1"/>
    <col min="25" max="25" width="11.6640625" style="29" bestFit="1" customWidth="1"/>
    <col min="26" max="26" width="9.109375" style="60"/>
    <col min="27" max="27" width="9.109375" style="29"/>
    <col min="28" max="28" width="15.88671875" style="29" customWidth="1"/>
    <col min="29" max="29" width="16.109375" style="29" customWidth="1"/>
    <col min="30" max="30" width="9.109375" style="29"/>
    <col min="31" max="31" width="9.109375" style="60"/>
    <col min="32" max="32" width="9.109375" style="29"/>
    <col min="33" max="33" width="20.88671875" style="29" bestFit="1" customWidth="1"/>
    <col min="34" max="16384" width="9.109375" style="29"/>
  </cols>
  <sheetData>
    <row r="1" spans="2:31" ht="5.25" customHeight="1" thickBot="1" x14ac:dyDescent="0.3">
      <c r="I1" s="36"/>
      <c r="M1" s="36"/>
      <c r="Q1" s="36"/>
    </row>
    <row r="2" spans="2:31" x14ac:dyDescent="0.25">
      <c r="B2" s="61" t="s">
        <v>125</v>
      </c>
      <c r="C2" s="62"/>
      <c r="D2" s="63"/>
      <c r="E2" s="75" t="s">
        <v>169</v>
      </c>
      <c r="F2" s="82"/>
      <c r="G2" s="36"/>
      <c r="H2" s="349"/>
      <c r="I2" s="36"/>
      <c r="J2" s="36"/>
      <c r="K2" s="36"/>
      <c r="M2" s="36"/>
      <c r="Q2" s="36"/>
    </row>
    <row r="3" spans="2:31" x14ac:dyDescent="0.25">
      <c r="B3" s="65" t="s">
        <v>126</v>
      </c>
      <c r="C3" s="49"/>
      <c r="D3" s="63"/>
      <c r="E3" s="66" t="s">
        <v>136</v>
      </c>
      <c r="F3" s="197">
        <v>0.08</v>
      </c>
      <c r="G3" s="36"/>
      <c r="H3" s="350"/>
      <c r="I3" s="36"/>
      <c r="J3" s="36"/>
      <c r="K3" s="36"/>
      <c r="M3" s="36"/>
      <c r="Q3" s="36"/>
    </row>
    <row r="4" spans="2:31" x14ac:dyDescent="0.25">
      <c r="B4" s="66" t="s">
        <v>15</v>
      </c>
      <c r="C4" s="192">
        <v>0.5</v>
      </c>
      <c r="D4" s="67"/>
      <c r="E4" s="66"/>
      <c r="F4" s="198"/>
      <c r="H4" s="70"/>
      <c r="I4" s="351"/>
      <c r="J4" s="63"/>
      <c r="K4" s="63"/>
      <c r="L4" s="36"/>
      <c r="M4" s="29"/>
      <c r="P4" s="36"/>
      <c r="Q4" s="29"/>
      <c r="V4" s="59"/>
      <c r="W4" s="29"/>
      <c r="Y4" s="60"/>
      <c r="Z4" s="29"/>
      <c r="AD4" s="60"/>
      <c r="AE4" s="29"/>
    </row>
    <row r="5" spans="2:31" x14ac:dyDescent="0.25">
      <c r="B5" s="66" t="s">
        <v>14</v>
      </c>
      <c r="C5" s="486">
        <v>7.4999999999999997E-2</v>
      </c>
      <c r="D5" s="68"/>
      <c r="E5" s="66" t="s">
        <v>137</v>
      </c>
      <c r="F5" s="197">
        <v>3</v>
      </c>
      <c r="H5" s="70"/>
      <c r="I5" s="299"/>
      <c r="J5" s="63"/>
      <c r="K5" s="85"/>
      <c r="L5" s="36"/>
      <c r="M5" s="29"/>
      <c r="P5" s="36"/>
      <c r="Q5" s="29"/>
      <c r="V5" s="59"/>
      <c r="W5" s="29"/>
      <c r="Y5" s="60"/>
      <c r="Z5" s="29"/>
      <c r="AD5" s="60"/>
      <c r="AE5" s="29"/>
    </row>
    <row r="6" spans="2:31" x14ac:dyDescent="0.25">
      <c r="B6" s="66" t="s">
        <v>13</v>
      </c>
      <c r="C6" s="194">
        <v>10</v>
      </c>
      <c r="D6" s="63"/>
      <c r="E6" s="66" t="s">
        <v>253</v>
      </c>
      <c r="F6" s="96">
        <v>25</v>
      </c>
      <c r="H6" s="70"/>
      <c r="I6" s="300"/>
      <c r="J6" s="63"/>
      <c r="K6" s="347"/>
      <c r="L6" s="36"/>
      <c r="M6" s="29"/>
      <c r="P6" s="36"/>
      <c r="Q6" s="29"/>
      <c r="V6" s="59"/>
      <c r="W6" s="29"/>
      <c r="Y6" s="60"/>
      <c r="Z6" s="29"/>
      <c r="AD6" s="60"/>
      <c r="AE6" s="29"/>
    </row>
    <row r="7" spans="2:31" x14ac:dyDescent="0.25">
      <c r="B7" s="66" t="s">
        <v>97</v>
      </c>
      <c r="C7" s="57">
        <f>Depreciation!D35</f>
        <v>5629631</v>
      </c>
      <c r="D7" s="45"/>
      <c r="E7" s="117" t="s">
        <v>160</v>
      </c>
      <c r="F7" s="118">
        <f>'Expense Projection'!E50</f>
        <v>238574.72326530612</v>
      </c>
      <c r="H7" s="36"/>
      <c r="I7" s="36"/>
      <c r="J7" s="63"/>
      <c r="K7" s="85"/>
      <c r="L7" s="36"/>
      <c r="M7" s="29"/>
      <c r="P7" s="36"/>
      <c r="Q7" s="29"/>
      <c r="V7" s="59"/>
      <c r="W7" s="29"/>
      <c r="Y7" s="60"/>
      <c r="Z7" s="29"/>
      <c r="AD7" s="60"/>
      <c r="AE7" s="29"/>
    </row>
    <row r="8" spans="2:31" ht="13.8" thickBot="1" x14ac:dyDescent="0.3">
      <c r="B8" s="66" t="s">
        <v>12</v>
      </c>
      <c r="C8" s="57">
        <f>C7*C4</f>
        <v>2814815.5</v>
      </c>
      <c r="D8" s="45"/>
      <c r="E8" s="121" t="s">
        <v>257</v>
      </c>
      <c r="F8" s="436">
        <f>'Expense Projection per Bale'!B38</f>
        <v>4.881053190636524</v>
      </c>
      <c r="H8" s="70"/>
      <c r="I8" s="352"/>
      <c r="J8" s="63"/>
      <c r="K8" s="85"/>
      <c r="L8" s="36"/>
      <c r="M8" s="29"/>
      <c r="P8" s="36"/>
      <c r="Q8" s="29"/>
      <c r="V8" s="59"/>
      <c r="W8" s="29"/>
      <c r="Y8" s="60"/>
      <c r="Z8" s="29"/>
      <c r="AD8" s="60"/>
      <c r="AE8" s="29"/>
    </row>
    <row r="9" spans="2:31" ht="13.8" thickBot="1" x14ac:dyDescent="0.3">
      <c r="B9" s="66" t="s">
        <v>16</v>
      </c>
      <c r="C9" s="57">
        <f>F21</f>
        <v>1675420.1650486658</v>
      </c>
      <c r="D9" s="45"/>
      <c r="H9" s="162"/>
      <c r="I9" s="73"/>
      <c r="J9" s="72"/>
      <c r="K9" s="73"/>
      <c r="L9" s="36"/>
      <c r="M9" s="29"/>
      <c r="Q9" s="29"/>
      <c r="U9" s="60"/>
      <c r="W9" s="29"/>
      <c r="AE9" s="29"/>
    </row>
    <row r="10" spans="2:31" ht="13.8" thickBot="1" x14ac:dyDescent="0.3">
      <c r="B10" s="74" t="s">
        <v>23</v>
      </c>
      <c r="C10" s="195">
        <v>0.06</v>
      </c>
      <c r="D10" s="68"/>
      <c r="E10" s="75" t="s">
        <v>170</v>
      </c>
      <c r="F10" s="82"/>
      <c r="H10" s="61" t="s">
        <v>369</v>
      </c>
      <c r="I10" s="62"/>
      <c r="J10" s="63"/>
      <c r="K10" s="85"/>
      <c r="L10" s="36"/>
      <c r="M10" s="29"/>
      <c r="Q10" s="36"/>
      <c r="R10" s="36"/>
      <c r="U10" s="60"/>
      <c r="W10" s="29"/>
      <c r="AE10" s="29"/>
    </row>
    <row r="11" spans="2:31" ht="13.8" thickBot="1" x14ac:dyDescent="0.3">
      <c r="D11" s="36"/>
      <c r="E11" s="66" t="s">
        <v>95</v>
      </c>
      <c r="F11" s="192">
        <v>0.01</v>
      </c>
      <c r="H11" s="353" t="s">
        <v>212</v>
      </c>
      <c r="I11" s="354" t="s">
        <v>149</v>
      </c>
      <c r="J11" s="72"/>
      <c r="K11" s="72"/>
      <c r="L11" s="36"/>
      <c r="M11" s="29"/>
      <c r="Q11" s="36"/>
      <c r="R11" s="36"/>
      <c r="U11" s="60"/>
      <c r="W11" s="29"/>
      <c r="AE11" s="29"/>
    </row>
    <row r="12" spans="2:31" x14ac:dyDescent="0.25">
      <c r="B12" s="75" t="s">
        <v>171</v>
      </c>
      <c r="C12" s="76"/>
      <c r="D12" s="36"/>
      <c r="E12" s="77" t="s">
        <v>173</v>
      </c>
      <c r="F12" s="200">
        <v>0.01</v>
      </c>
      <c r="H12" s="77" t="s">
        <v>282</v>
      </c>
      <c r="I12" s="197">
        <v>130</v>
      </c>
      <c r="J12" s="348"/>
      <c r="K12" s="124"/>
      <c r="L12" s="36"/>
      <c r="M12" s="29"/>
      <c r="Q12" s="36"/>
      <c r="R12" s="36"/>
      <c r="U12" s="60"/>
      <c r="W12" s="29"/>
      <c r="AE12" s="29"/>
    </row>
    <row r="13" spans="2:31" x14ac:dyDescent="0.25">
      <c r="B13" s="66" t="s">
        <v>176</v>
      </c>
      <c r="C13" s="192">
        <v>5.0000000000000001E-3</v>
      </c>
      <c r="D13" s="261"/>
      <c r="E13" s="77" t="s">
        <v>174</v>
      </c>
      <c r="F13" s="193">
        <v>0.01</v>
      </c>
      <c r="H13" s="77" t="s">
        <v>211</v>
      </c>
      <c r="I13" s="197">
        <v>5</v>
      </c>
      <c r="J13" s="72"/>
      <c r="K13" s="124"/>
      <c r="L13" s="36"/>
      <c r="M13" s="29"/>
      <c r="Q13" s="36"/>
      <c r="R13" s="36"/>
      <c r="U13" s="60"/>
      <c r="W13" s="29"/>
      <c r="AE13" s="29"/>
    </row>
    <row r="14" spans="2:31" ht="13.8" thickBot="1" x14ac:dyDescent="0.3">
      <c r="B14" s="74" t="s">
        <v>98</v>
      </c>
      <c r="C14" s="196">
        <v>0.6</v>
      </c>
      <c r="D14" s="36"/>
      <c r="E14" s="98" t="s">
        <v>175</v>
      </c>
      <c r="F14" s="431">
        <f>+'Return On Investment'!C9</f>
        <v>0.1</v>
      </c>
      <c r="H14" s="81" t="s">
        <v>412</v>
      </c>
      <c r="I14" s="439">
        <v>25</v>
      </c>
      <c r="J14" s="79"/>
      <c r="K14" s="85"/>
      <c r="M14" s="29"/>
      <c r="P14" s="36"/>
      <c r="Q14" s="36"/>
      <c r="V14" s="59"/>
      <c r="W14" s="29"/>
      <c r="Y14" s="60"/>
      <c r="Z14" s="29"/>
      <c r="AD14" s="60"/>
      <c r="AE14" s="29"/>
    </row>
    <row r="15" spans="2:31" ht="16.2" thickBot="1" x14ac:dyDescent="0.35">
      <c r="B15" s="63"/>
      <c r="C15" s="67"/>
      <c r="D15" s="261"/>
      <c r="G15" s="80"/>
      <c r="H15" s="79"/>
      <c r="I15" s="83"/>
      <c r="J15" s="79"/>
      <c r="K15" s="85"/>
      <c r="M15" s="36"/>
      <c r="Q15" s="36"/>
    </row>
    <row r="16" spans="2:31" x14ac:dyDescent="0.25">
      <c r="B16" s="75" t="s">
        <v>172</v>
      </c>
      <c r="C16" s="82"/>
      <c r="D16" s="63"/>
      <c r="E16" s="75" t="s">
        <v>192</v>
      </c>
      <c r="F16" s="62"/>
      <c r="H16" s="79"/>
      <c r="I16" s="83"/>
      <c r="J16" s="79"/>
      <c r="K16" s="83"/>
      <c r="M16" s="36"/>
      <c r="Q16" s="36"/>
    </row>
    <row r="17" spans="2:32" x14ac:dyDescent="0.25">
      <c r="B17" s="69" t="s">
        <v>33</v>
      </c>
      <c r="C17" s="192">
        <v>0.05</v>
      </c>
      <c r="D17" s="67"/>
      <c r="E17" s="66" t="s">
        <v>366</v>
      </c>
      <c r="F17" s="105">
        <f>'Expense Projection'!E39*0.5</f>
        <v>1198958.6938775512</v>
      </c>
      <c r="H17" s="70"/>
      <c r="I17" s="70"/>
      <c r="J17" s="70"/>
      <c r="K17" s="36"/>
      <c r="L17" s="36"/>
      <c r="M17" s="29"/>
      <c r="P17" s="36"/>
      <c r="Q17" s="29"/>
      <c r="V17" s="59"/>
      <c r="W17" s="29"/>
      <c r="Y17" s="60"/>
      <c r="Z17" s="29"/>
      <c r="AD17" s="60"/>
      <c r="AE17" s="29"/>
    </row>
    <row r="18" spans="2:32" x14ac:dyDescent="0.25">
      <c r="B18" s="69" t="s">
        <v>34</v>
      </c>
      <c r="C18" s="192">
        <v>0.15</v>
      </c>
      <c r="D18" s="67"/>
      <c r="E18" s="66" t="s">
        <v>195</v>
      </c>
      <c r="F18" s="200">
        <v>0.08</v>
      </c>
      <c r="H18" s="70"/>
      <c r="I18" s="70"/>
      <c r="J18" s="70"/>
      <c r="K18" s="36"/>
      <c r="L18" s="36"/>
      <c r="M18" s="29"/>
      <c r="P18" s="36"/>
      <c r="Q18" s="29"/>
      <c r="V18" s="59"/>
      <c r="W18" s="29"/>
      <c r="Y18" s="60"/>
      <c r="Z18" s="29"/>
      <c r="AD18" s="60"/>
      <c r="AE18" s="29"/>
    </row>
    <row r="19" spans="2:32" x14ac:dyDescent="0.25">
      <c r="B19" s="66" t="s">
        <v>164</v>
      </c>
      <c r="C19" s="192">
        <v>0.1</v>
      </c>
      <c r="D19" s="84"/>
      <c r="E19" s="66" t="s">
        <v>196</v>
      </c>
      <c r="F19" s="105">
        <f>'Operations Summary'!D13*F18</f>
        <v>476461.39117111458</v>
      </c>
      <c r="H19" s="36"/>
      <c r="I19" s="36"/>
      <c r="J19" s="85"/>
      <c r="K19" s="63"/>
      <c r="L19" s="36"/>
      <c r="M19" s="29"/>
      <c r="P19" s="36"/>
      <c r="Q19" s="29"/>
      <c r="V19" s="59"/>
      <c r="W19" s="29"/>
      <c r="Y19" s="60"/>
      <c r="Z19" s="29"/>
      <c r="AD19" s="60"/>
      <c r="AE19" s="29"/>
    </row>
    <row r="20" spans="2:32" x14ac:dyDescent="0.25">
      <c r="B20" s="69" t="s">
        <v>32</v>
      </c>
      <c r="C20" s="86">
        <f>SUM(C17:C19)</f>
        <v>0.30000000000000004</v>
      </c>
      <c r="D20" s="67"/>
      <c r="E20" s="48" t="s">
        <v>197</v>
      </c>
      <c r="F20" s="199">
        <v>0</v>
      </c>
      <c r="H20" s="36"/>
      <c r="I20" s="36"/>
      <c r="J20" s="85"/>
      <c r="K20" s="63"/>
      <c r="L20" s="36"/>
      <c r="M20" s="29"/>
      <c r="P20" s="36"/>
      <c r="Q20" s="29"/>
      <c r="V20" s="59"/>
      <c r="W20" s="29"/>
      <c r="Y20" s="60"/>
      <c r="Z20" s="29"/>
      <c r="AD20" s="60"/>
      <c r="AE20" s="29"/>
    </row>
    <row r="21" spans="2:32" ht="13.8" thickBot="1" x14ac:dyDescent="0.3">
      <c r="B21" s="69" t="s">
        <v>94</v>
      </c>
      <c r="C21" s="86">
        <v>0.01</v>
      </c>
      <c r="D21" s="67"/>
      <c r="E21" s="56" t="s">
        <v>193</v>
      </c>
      <c r="F21" s="120">
        <f>SUM(F17:F20)</f>
        <v>1675420.1650486658</v>
      </c>
      <c r="H21" s="63"/>
      <c r="I21" s="85"/>
      <c r="J21" s="63"/>
      <c r="K21" s="89"/>
      <c r="L21" s="36"/>
      <c r="M21" s="29"/>
      <c r="P21" s="36"/>
      <c r="Q21" s="29"/>
      <c r="V21" s="59"/>
      <c r="W21" s="29"/>
      <c r="Y21" s="60"/>
      <c r="Z21" s="29"/>
      <c r="AD21" s="60"/>
      <c r="AE21" s="29"/>
    </row>
    <row r="22" spans="2:32" ht="13.8" thickBot="1" x14ac:dyDescent="0.3">
      <c r="B22" s="90" t="s">
        <v>148</v>
      </c>
      <c r="C22" s="88">
        <f>Efficiency!H8</f>
        <v>18</v>
      </c>
      <c r="D22" s="63"/>
      <c r="H22" s="499" t="s">
        <v>184</v>
      </c>
      <c r="I22" s="500"/>
      <c r="J22" s="501"/>
      <c r="L22" s="36"/>
      <c r="M22" s="29"/>
      <c r="P22" s="36"/>
      <c r="Q22" s="29"/>
      <c r="V22" s="59"/>
      <c r="W22" s="29"/>
      <c r="Y22" s="60"/>
      <c r="Z22" s="29"/>
      <c r="AD22" s="60"/>
      <c r="AE22" s="29"/>
    </row>
    <row r="23" spans="2:32" ht="16.2" thickBot="1" x14ac:dyDescent="0.35">
      <c r="D23" s="63"/>
      <c r="E23" s="344" t="s">
        <v>291</v>
      </c>
      <c r="F23" s="301"/>
      <c r="G23" s="301"/>
      <c r="H23" s="493" t="s">
        <v>177</v>
      </c>
      <c r="I23" s="494"/>
      <c r="J23" s="495"/>
      <c r="K23" s="91"/>
      <c r="L23" s="36"/>
      <c r="M23" s="29"/>
      <c r="P23" s="36"/>
      <c r="Q23" s="29"/>
      <c r="V23" s="59"/>
      <c r="W23" s="29"/>
      <c r="Y23" s="60"/>
      <c r="Z23" s="29"/>
      <c r="AD23" s="60"/>
      <c r="AE23" s="29"/>
    </row>
    <row r="24" spans="2:32" ht="13.8" thickBot="1" x14ac:dyDescent="0.3">
      <c r="B24" s="314" t="s">
        <v>284</v>
      </c>
      <c r="C24" s="62"/>
      <c r="D24" s="92"/>
      <c r="E24" s="302" t="s">
        <v>292</v>
      </c>
      <c r="F24" s="358">
        <v>2.25</v>
      </c>
      <c r="G24" s="304">
        <v>2.25</v>
      </c>
      <c r="H24" s="502" t="s">
        <v>178</v>
      </c>
      <c r="I24" s="503"/>
      <c r="J24" s="504"/>
      <c r="L24" s="36"/>
      <c r="M24" s="29"/>
      <c r="P24" s="36"/>
      <c r="Q24" s="29"/>
      <c r="V24" s="59"/>
      <c r="W24" s="29"/>
      <c r="Y24" s="60"/>
      <c r="Z24" s="29"/>
      <c r="AD24" s="60"/>
      <c r="AE24" s="29"/>
    </row>
    <row r="25" spans="2:32" ht="16.2" thickBot="1" x14ac:dyDescent="0.35">
      <c r="B25" s="69" t="s">
        <v>285</v>
      </c>
      <c r="C25" s="379">
        <v>12</v>
      </c>
      <c r="D25" s="93"/>
      <c r="E25" s="302" t="s">
        <v>290</v>
      </c>
      <c r="F25" s="358">
        <v>7.5</v>
      </c>
      <c r="H25" s="493" t="s">
        <v>179</v>
      </c>
      <c r="I25" s="494"/>
      <c r="J25" s="495"/>
      <c r="K25" s="91"/>
      <c r="L25" s="36"/>
      <c r="M25" s="29"/>
      <c r="P25" s="36"/>
      <c r="Q25" s="29"/>
      <c r="V25" s="59"/>
      <c r="W25" s="29"/>
      <c r="Y25" s="60"/>
      <c r="Z25" s="29"/>
      <c r="AD25" s="60"/>
      <c r="AE25" s="29"/>
    </row>
    <row r="26" spans="2:32" ht="16.2" thickBot="1" x14ac:dyDescent="0.35">
      <c r="B26" s="69" t="s">
        <v>286</v>
      </c>
      <c r="C26" s="380">
        <v>1.1399999999999999</v>
      </c>
      <c r="D26" s="94"/>
      <c r="E26" s="302" t="s">
        <v>293</v>
      </c>
      <c r="F26" s="358">
        <v>8</v>
      </c>
      <c r="H26" s="493" t="s">
        <v>180</v>
      </c>
      <c r="I26" s="494"/>
      <c r="J26" s="495"/>
      <c r="K26" s="95"/>
      <c r="L26" s="36"/>
      <c r="M26" s="29"/>
      <c r="P26" s="36"/>
      <c r="Q26" s="29"/>
      <c r="V26" s="59"/>
      <c r="W26" s="29"/>
      <c r="Y26" s="60"/>
      <c r="Z26" s="29"/>
      <c r="AD26" s="60"/>
      <c r="AE26" s="29"/>
    </row>
    <row r="27" spans="2:32" ht="16.2" thickBot="1" x14ac:dyDescent="0.35">
      <c r="B27" s="69" t="s">
        <v>287</v>
      </c>
      <c r="C27" s="381">
        <v>44</v>
      </c>
      <c r="D27" s="93"/>
      <c r="E27" s="302" t="s">
        <v>294</v>
      </c>
      <c r="F27" s="358">
        <v>12.25</v>
      </c>
      <c r="H27" s="496" t="s">
        <v>181</v>
      </c>
      <c r="I27" s="497"/>
      <c r="J27" s="498"/>
      <c r="L27" s="36"/>
      <c r="M27" s="29"/>
      <c r="P27" s="36"/>
      <c r="Q27" s="29"/>
      <c r="V27" s="59"/>
      <c r="W27" s="29"/>
      <c r="Y27" s="60"/>
      <c r="Z27" s="29"/>
      <c r="AD27" s="60"/>
      <c r="AE27" s="29"/>
    </row>
    <row r="28" spans="2:32" x14ac:dyDescent="0.25">
      <c r="B28" s="69" t="s">
        <v>288</v>
      </c>
      <c r="C28" s="380">
        <v>0.27</v>
      </c>
      <c r="D28" s="97"/>
      <c r="E28" s="302" t="s">
        <v>295</v>
      </c>
      <c r="F28" s="358">
        <v>55</v>
      </c>
      <c r="H28" s="201"/>
      <c r="I28" s="201"/>
      <c r="J28" s="201"/>
      <c r="L28" s="36"/>
      <c r="M28" s="29"/>
      <c r="P28" s="36"/>
      <c r="Q28" s="29"/>
      <c r="V28" s="59"/>
      <c r="W28" s="29"/>
      <c r="Y28" s="60"/>
      <c r="Z28" s="29"/>
      <c r="AD28" s="60"/>
      <c r="AE28" s="29"/>
    </row>
    <row r="29" spans="2:32" x14ac:dyDescent="0.25">
      <c r="B29" s="69" t="s">
        <v>357</v>
      </c>
      <c r="C29" s="332">
        <v>100</v>
      </c>
      <c r="D29" s="97"/>
      <c r="E29" s="306" t="s">
        <v>296</v>
      </c>
      <c r="F29" s="358"/>
      <c r="H29" s="259"/>
      <c r="I29" s="36"/>
      <c r="J29" s="36"/>
      <c r="L29" s="36"/>
      <c r="M29" s="29"/>
      <c r="P29" s="36"/>
      <c r="Q29" s="29"/>
      <c r="V29" s="59"/>
      <c r="W29" s="29"/>
      <c r="Y29" s="60"/>
      <c r="Z29" s="29"/>
      <c r="AD29" s="60"/>
      <c r="AE29" s="29"/>
    </row>
    <row r="30" spans="2:32" ht="13.8" thickBot="1" x14ac:dyDescent="0.3">
      <c r="B30" s="90" t="s">
        <v>300</v>
      </c>
      <c r="C30" s="307">
        <v>43.95</v>
      </c>
      <c r="D30" s="97"/>
      <c r="E30" s="302" t="s">
        <v>264</v>
      </c>
      <c r="F30" s="359">
        <v>3.5</v>
      </c>
      <c r="I30" s="36"/>
      <c r="K30" s="36"/>
      <c r="L30" s="36"/>
      <c r="M30" s="99"/>
      <c r="P30" s="36"/>
      <c r="Q30" s="99"/>
      <c r="V30" s="59"/>
      <c r="W30" s="100"/>
      <c r="Y30" s="60"/>
      <c r="Z30" s="29"/>
      <c r="AA30" s="101" t="s">
        <v>47</v>
      </c>
      <c r="AD30" s="60"/>
      <c r="AE30" s="29"/>
      <c r="AF30" s="101" t="s">
        <v>55</v>
      </c>
    </row>
    <row r="31" spans="2:32" x14ac:dyDescent="0.25">
      <c r="D31" s="102"/>
      <c r="E31" s="345" t="s">
        <v>265</v>
      </c>
      <c r="F31" s="359">
        <v>10</v>
      </c>
      <c r="G31" s="58"/>
      <c r="I31" s="36"/>
      <c r="K31" s="89"/>
      <c r="L31" s="36"/>
      <c r="M31" s="29"/>
      <c r="P31" s="36"/>
      <c r="Q31" s="29"/>
      <c r="V31" s="59"/>
      <c r="W31" s="29"/>
      <c r="Y31" s="60"/>
      <c r="Z31" s="29"/>
      <c r="AD31" s="60"/>
      <c r="AE31" s="29"/>
    </row>
    <row r="32" spans="2:32" x14ac:dyDescent="0.25">
      <c r="D32" s="103"/>
      <c r="E32" s="338" t="s">
        <v>359</v>
      </c>
      <c r="F32" s="359">
        <v>140</v>
      </c>
      <c r="G32" s="58"/>
      <c r="I32" s="36"/>
      <c r="K32" s="36"/>
      <c r="M32" s="36"/>
      <c r="Q32" s="36"/>
    </row>
    <row r="33" spans="2:34" ht="13.8" thickBot="1" x14ac:dyDescent="0.3">
      <c r="D33" s="104"/>
      <c r="E33" s="71" t="s">
        <v>100</v>
      </c>
      <c r="F33" s="346">
        <v>0.01</v>
      </c>
      <c r="I33" s="36"/>
      <c r="K33" s="36"/>
      <c r="M33" s="36"/>
      <c r="N33" s="106"/>
      <c r="O33" s="107"/>
      <c r="Q33" s="36"/>
      <c r="R33" s="108"/>
      <c r="S33" s="109"/>
      <c r="T33" s="109"/>
      <c r="U33" s="109"/>
      <c r="X33" s="110"/>
      <c r="AG33" s="106" t="s">
        <v>56</v>
      </c>
      <c r="AH33" s="111">
        <v>0</v>
      </c>
    </row>
    <row r="34" spans="2:34" x14ac:dyDescent="0.25">
      <c r="D34" s="102"/>
      <c r="I34" s="36"/>
      <c r="K34" s="36"/>
      <c r="M34" s="36"/>
      <c r="N34" s="106"/>
      <c r="O34" s="112"/>
      <c r="Q34" s="36"/>
      <c r="R34" s="106"/>
      <c r="S34" s="107"/>
      <c r="T34" s="107"/>
      <c r="U34" s="107"/>
      <c r="X34" s="106"/>
      <c r="Y34" s="112"/>
      <c r="AG34" s="106" t="s">
        <v>54</v>
      </c>
      <c r="AH34" s="112">
        <v>0</v>
      </c>
    </row>
    <row r="35" spans="2:34" x14ac:dyDescent="0.25">
      <c r="D35" s="102"/>
      <c r="I35" s="36"/>
      <c r="K35" s="36"/>
      <c r="M35" s="36"/>
      <c r="N35" s="106"/>
      <c r="O35" s="112"/>
      <c r="Q35" s="36"/>
      <c r="R35" s="113"/>
      <c r="S35" s="114"/>
      <c r="T35" s="114"/>
      <c r="U35" s="114"/>
      <c r="X35" s="106"/>
      <c r="Y35" s="112"/>
    </row>
    <row r="36" spans="2:34" x14ac:dyDescent="0.25">
      <c r="D36" s="115"/>
      <c r="G36" s="116"/>
      <c r="I36" s="36"/>
      <c r="K36" s="36"/>
      <c r="M36" s="36"/>
      <c r="N36" s="106"/>
      <c r="O36" s="112"/>
      <c r="Q36" s="36"/>
      <c r="R36" s="106"/>
      <c r="S36" s="107"/>
      <c r="T36" s="107"/>
      <c r="U36" s="107"/>
      <c r="X36" s="106"/>
      <c r="Y36" s="112"/>
    </row>
    <row r="37" spans="2:34" x14ac:dyDescent="0.25">
      <c r="D37" s="119"/>
      <c r="G37" s="116"/>
      <c r="I37" s="36"/>
      <c r="M37" s="36"/>
      <c r="N37" s="106"/>
      <c r="O37" s="107"/>
      <c r="Q37" s="36"/>
      <c r="R37" s="113"/>
      <c r="S37" s="114"/>
      <c r="T37" s="114"/>
      <c r="U37" s="114"/>
      <c r="X37" s="106"/>
      <c r="Y37" s="112"/>
    </row>
    <row r="38" spans="2:34" x14ac:dyDescent="0.25">
      <c r="I38" s="36"/>
      <c r="M38" s="36"/>
      <c r="N38" s="106"/>
      <c r="O38" s="114"/>
      <c r="Q38" s="36"/>
      <c r="R38" s="106"/>
      <c r="S38" s="107"/>
      <c r="T38" s="107"/>
      <c r="U38" s="107"/>
      <c r="X38" s="106"/>
      <c r="Y38" s="112"/>
    </row>
    <row r="39" spans="2:34" x14ac:dyDescent="0.25">
      <c r="D39" s="63"/>
      <c r="I39" s="36"/>
      <c r="M39" s="36"/>
      <c r="O39" s="122"/>
      <c r="Q39" s="36"/>
      <c r="R39" s="113"/>
      <c r="S39" s="114"/>
      <c r="T39" s="114"/>
      <c r="U39" s="114"/>
      <c r="X39" s="106"/>
      <c r="Y39" s="112"/>
      <c r="AC39" s="107"/>
    </row>
    <row r="40" spans="2:34" x14ac:dyDescent="0.25">
      <c r="D40" s="67"/>
      <c r="I40" s="36"/>
      <c r="L40" s="58"/>
      <c r="M40" s="36"/>
      <c r="N40" s="106"/>
      <c r="O40" s="107"/>
      <c r="Q40" s="36"/>
      <c r="R40" s="106"/>
      <c r="S40" s="107"/>
      <c r="T40" s="107"/>
      <c r="U40" s="107"/>
      <c r="X40" s="106"/>
      <c r="Y40" s="112"/>
      <c r="AC40" s="107"/>
    </row>
    <row r="41" spans="2:34" x14ac:dyDescent="0.25">
      <c r="C41" s="123"/>
      <c r="D41" s="124"/>
      <c r="E41" s="102"/>
      <c r="F41" s="102"/>
      <c r="I41" s="36"/>
      <c r="M41" s="36"/>
      <c r="N41" s="106"/>
      <c r="O41" s="112"/>
      <c r="Q41" s="36"/>
      <c r="R41" s="113"/>
      <c r="S41" s="114"/>
      <c r="T41" s="114"/>
      <c r="U41" s="114"/>
      <c r="V41" s="114"/>
      <c r="X41" s="106"/>
      <c r="Y41" s="112"/>
      <c r="AC41" s="111"/>
    </row>
    <row r="42" spans="2:34" x14ac:dyDescent="0.25">
      <c r="B42" s="125"/>
      <c r="C42" s="36"/>
      <c r="D42" s="68"/>
      <c r="E42" s="115"/>
      <c r="F42" s="115"/>
      <c r="G42" s="58"/>
      <c r="I42" s="36"/>
      <c r="M42" s="36"/>
      <c r="Q42" s="36"/>
      <c r="R42" s="113"/>
      <c r="S42" s="114"/>
      <c r="T42" s="114"/>
      <c r="U42" s="114"/>
      <c r="V42" s="114"/>
      <c r="X42" s="106"/>
      <c r="Y42" s="112"/>
      <c r="AC42" s="107"/>
    </row>
    <row r="43" spans="2:34" x14ac:dyDescent="0.25">
      <c r="B43" s="37"/>
      <c r="C43" s="36"/>
      <c r="D43" s="126"/>
      <c r="E43" s="119"/>
      <c r="F43" s="119"/>
      <c r="I43" s="36"/>
      <c r="M43" s="36"/>
      <c r="Q43" s="36"/>
      <c r="R43" s="113"/>
      <c r="S43" s="114"/>
      <c r="T43" s="114"/>
      <c r="U43" s="114"/>
      <c r="V43" s="114"/>
      <c r="X43" s="108"/>
      <c r="AC43" s="111"/>
    </row>
    <row r="44" spans="2:34" x14ac:dyDescent="0.25">
      <c r="B44" s="37"/>
      <c r="C44" s="36"/>
      <c r="D44" s="123"/>
      <c r="I44" s="36"/>
      <c r="M44" s="36"/>
      <c r="Q44" s="36"/>
      <c r="R44" s="114"/>
      <c r="S44" s="114"/>
      <c r="T44" s="114"/>
      <c r="U44" s="114"/>
      <c r="V44" s="114"/>
      <c r="X44" s="106"/>
      <c r="Y44" s="112"/>
      <c r="AC44" s="107"/>
    </row>
    <row r="45" spans="2:34" x14ac:dyDescent="0.25">
      <c r="B45" s="37"/>
      <c r="C45" s="36"/>
      <c r="D45" s="123"/>
      <c r="E45" s="63"/>
      <c r="F45" s="63"/>
      <c r="I45" s="36"/>
      <c r="M45" s="36"/>
      <c r="Q45" s="36"/>
      <c r="R45" s="127"/>
      <c r="S45" s="127"/>
      <c r="T45" s="127"/>
      <c r="U45" s="127"/>
      <c r="V45" s="114"/>
      <c r="X45" s="106"/>
      <c r="Y45" s="112"/>
      <c r="AC45" s="128"/>
    </row>
    <row r="46" spans="2:34" x14ac:dyDescent="0.25">
      <c r="B46" s="37"/>
      <c r="C46" s="36"/>
      <c r="D46" s="63"/>
      <c r="E46" s="67"/>
      <c r="F46" s="67"/>
      <c r="G46" s="36"/>
      <c r="I46" s="36"/>
      <c r="M46" s="36"/>
      <c r="Q46" s="36"/>
      <c r="R46" s="114"/>
      <c r="S46" s="114"/>
      <c r="T46" s="114"/>
      <c r="U46" s="114"/>
      <c r="V46" s="114"/>
      <c r="X46" s="106"/>
      <c r="Y46" s="112"/>
      <c r="AC46" s="111"/>
    </row>
    <row r="47" spans="2:34" x14ac:dyDescent="0.25">
      <c r="B47" s="36"/>
      <c r="C47" s="36"/>
      <c r="D47" s="63"/>
      <c r="E47" s="124"/>
      <c r="F47" s="124"/>
      <c r="G47" s="36"/>
      <c r="I47" s="36"/>
      <c r="M47" s="36"/>
      <c r="Q47" s="36"/>
      <c r="R47" s="113"/>
      <c r="S47" s="114"/>
      <c r="T47" s="114"/>
      <c r="U47" s="114"/>
      <c r="V47" s="114"/>
      <c r="X47" s="106"/>
      <c r="Y47" s="112"/>
      <c r="AC47" s="129"/>
    </row>
    <row r="48" spans="2:34" x14ac:dyDescent="0.25">
      <c r="B48" s="36"/>
      <c r="C48" s="36"/>
      <c r="D48" s="63"/>
      <c r="E48" s="68"/>
      <c r="F48" s="68"/>
      <c r="G48" s="36"/>
      <c r="I48" s="36"/>
      <c r="M48" s="36"/>
      <c r="Q48" s="36"/>
      <c r="R48" s="114"/>
      <c r="S48" s="114"/>
      <c r="T48" s="114"/>
      <c r="U48" s="114"/>
      <c r="V48" s="114"/>
      <c r="X48" s="106"/>
      <c r="Y48" s="112"/>
      <c r="AC48" s="130"/>
    </row>
    <row r="49" spans="2:29" x14ac:dyDescent="0.25">
      <c r="B49" s="36"/>
      <c r="D49" s="63"/>
      <c r="E49" s="126"/>
      <c r="F49" s="126"/>
      <c r="G49" s="36"/>
      <c r="I49" s="36"/>
      <c r="M49" s="36"/>
      <c r="Q49" s="36"/>
      <c r="R49" s="113"/>
      <c r="S49" s="114"/>
      <c r="T49" s="114"/>
      <c r="U49" s="114"/>
      <c r="V49" s="114"/>
      <c r="AC49" s="129"/>
    </row>
    <row r="50" spans="2:29" x14ac:dyDescent="0.25">
      <c r="C50" s="131"/>
      <c r="D50" s="63"/>
      <c r="E50" s="123"/>
      <c r="F50" s="123"/>
      <c r="G50" s="36"/>
      <c r="I50" s="36"/>
      <c r="M50" s="36"/>
      <c r="Q50" s="36"/>
      <c r="R50" s="114"/>
      <c r="S50" s="114"/>
      <c r="T50" s="114"/>
      <c r="U50" s="114"/>
      <c r="V50" s="114"/>
      <c r="X50" s="108"/>
      <c r="AC50" s="129"/>
    </row>
    <row r="51" spans="2:29" x14ac:dyDescent="0.25">
      <c r="B51" s="132"/>
      <c r="C51" s="131"/>
      <c r="D51" s="63"/>
      <c r="E51" s="123"/>
      <c r="F51" s="123"/>
      <c r="G51" s="36"/>
      <c r="I51" s="36"/>
      <c r="M51" s="36"/>
      <c r="Q51" s="36"/>
      <c r="R51" s="113"/>
      <c r="S51" s="114"/>
      <c r="T51" s="114"/>
      <c r="U51" s="114"/>
      <c r="V51" s="114"/>
      <c r="Y51" s="122"/>
      <c r="AC51" s="129"/>
    </row>
    <row r="52" spans="2:29" x14ac:dyDescent="0.25">
      <c r="B52" s="132"/>
      <c r="D52" s="63"/>
      <c r="E52" s="63"/>
      <c r="F52" s="63"/>
      <c r="G52" s="36"/>
      <c r="I52" s="36"/>
      <c r="M52" s="36"/>
      <c r="Q52" s="36"/>
      <c r="R52" s="114"/>
      <c r="S52" s="114"/>
      <c r="T52" s="114"/>
      <c r="U52" s="114"/>
      <c r="V52" s="114"/>
      <c r="Y52" s="122"/>
      <c r="AC52" s="129"/>
    </row>
    <row r="53" spans="2:29" x14ac:dyDescent="0.25">
      <c r="E53" s="63"/>
      <c r="F53" s="63"/>
      <c r="G53" s="116"/>
      <c r="I53" s="36"/>
      <c r="M53" s="36"/>
      <c r="Q53" s="36"/>
      <c r="R53" s="113"/>
      <c r="S53" s="114"/>
      <c r="T53" s="114"/>
      <c r="U53" s="114"/>
      <c r="V53" s="114"/>
      <c r="Y53" s="122"/>
      <c r="AC53" s="111"/>
    </row>
    <row r="54" spans="2:29" x14ac:dyDescent="0.25">
      <c r="D54" s="123"/>
      <c r="E54" s="63"/>
      <c r="F54" s="63"/>
      <c r="G54" s="116"/>
      <c r="I54" s="36"/>
      <c r="M54" s="36"/>
      <c r="Q54" s="36"/>
      <c r="R54" s="114"/>
      <c r="S54" s="114"/>
      <c r="T54" s="114"/>
      <c r="U54" s="114"/>
      <c r="V54" s="114"/>
      <c r="X54" s="106"/>
      <c r="Y54" s="122"/>
    </row>
    <row r="55" spans="2:29" x14ac:dyDescent="0.25">
      <c r="C55" s="131"/>
      <c r="D55" s="123"/>
      <c r="E55" s="63"/>
      <c r="F55" s="63"/>
      <c r="I55" s="36"/>
      <c r="M55" s="36"/>
      <c r="Q55" s="36"/>
      <c r="R55" s="113"/>
      <c r="S55" s="114"/>
      <c r="T55" s="114"/>
      <c r="U55" s="114"/>
      <c r="V55" s="114"/>
    </row>
    <row r="56" spans="2:29" x14ac:dyDescent="0.25">
      <c r="B56" s="132"/>
      <c r="C56" s="131"/>
      <c r="E56" s="63"/>
      <c r="F56" s="63"/>
      <c r="I56" s="36"/>
      <c r="M56" s="36"/>
      <c r="Q56" s="36"/>
      <c r="X56" s="108"/>
      <c r="AC56" s="107"/>
    </row>
    <row r="57" spans="2:29" x14ac:dyDescent="0.25">
      <c r="B57" s="132"/>
      <c r="E57" s="63"/>
      <c r="F57" s="63"/>
      <c r="I57" s="36"/>
      <c r="M57" s="36"/>
      <c r="Q57" s="36"/>
      <c r="X57" s="106"/>
      <c r="Y57" s="122"/>
      <c r="AC57" s="107"/>
    </row>
    <row r="58" spans="2:29" x14ac:dyDescent="0.25">
      <c r="E58" s="63"/>
      <c r="F58" s="63"/>
      <c r="I58" s="36"/>
      <c r="M58" s="36"/>
      <c r="Q58" s="36"/>
      <c r="X58" s="106"/>
      <c r="Y58" s="112"/>
      <c r="AC58" s="107"/>
    </row>
    <row r="59" spans="2:29" x14ac:dyDescent="0.25">
      <c r="D59" s="123"/>
      <c r="I59" s="36"/>
      <c r="M59" s="36"/>
      <c r="Q59" s="36"/>
      <c r="X59" s="106"/>
      <c r="Y59" s="122"/>
      <c r="AC59" s="107"/>
    </row>
    <row r="60" spans="2:29" x14ac:dyDescent="0.25">
      <c r="B60" s="133"/>
      <c r="D60" s="123"/>
      <c r="E60" s="123"/>
      <c r="F60" s="123"/>
      <c r="I60" s="36"/>
      <c r="M60" s="36"/>
      <c r="Q60" s="36"/>
      <c r="X60" s="106"/>
      <c r="AB60" s="106"/>
      <c r="AC60" s="134"/>
    </row>
    <row r="61" spans="2:29" x14ac:dyDescent="0.25">
      <c r="E61" s="123"/>
      <c r="F61" s="123"/>
      <c r="I61" s="36"/>
      <c r="M61" s="36"/>
      <c r="Q61" s="36"/>
      <c r="X61" s="106"/>
      <c r="Y61" s="122"/>
    </row>
    <row r="62" spans="2:29" x14ac:dyDescent="0.25">
      <c r="I62" s="36"/>
      <c r="M62" s="36"/>
      <c r="Q62" s="36"/>
      <c r="X62" s="106"/>
      <c r="Y62" s="112"/>
      <c r="AB62" s="112"/>
    </row>
    <row r="63" spans="2:29" x14ac:dyDescent="0.25">
      <c r="I63" s="36"/>
      <c r="M63" s="36"/>
      <c r="Q63" s="36"/>
      <c r="X63" s="106"/>
      <c r="Y63" s="122"/>
      <c r="AB63" s="112"/>
    </row>
    <row r="64" spans="2:29" x14ac:dyDescent="0.25">
      <c r="I64" s="36"/>
      <c r="M64" s="36"/>
      <c r="Q64" s="36"/>
      <c r="X64" s="106"/>
      <c r="Y64" s="122"/>
    </row>
    <row r="65" spans="5:25" x14ac:dyDescent="0.25">
      <c r="E65" s="123"/>
      <c r="F65" s="123"/>
      <c r="I65" s="36"/>
      <c r="M65" s="36"/>
      <c r="Q65" s="36"/>
    </row>
    <row r="66" spans="5:25" x14ac:dyDescent="0.25">
      <c r="E66" s="123"/>
      <c r="F66" s="123"/>
      <c r="I66" s="36"/>
      <c r="M66" s="36"/>
      <c r="Q66" s="36"/>
      <c r="X66" s="106"/>
      <c r="Y66" s="122"/>
    </row>
    <row r="67" spans="5:25" x14ac:dyDescent="0.25">
      <c r="I67" s="36"/>
      <c r="M67" s="36"/>
      <c r="Q67" s="36"/>
      <c r="X67" s="106"/>
      <c r="Y67" s="122"/>
    </row>
    <row r="68" spans="5:25" x14ac:dyDescent="0.25">
      <c r="I68" s="36"/>
      <c r="M68" s="36"/>
      <c r="Q68" s="36"/>
      <c r="X68" s="106"/>
      <c r="Y68" s="122"/>
    </row>
    <row r="69" spans="5:25" x14ac:dyDescent="0.25">
      <c r="I69" s="36"/>
      <c r="M69" s="36"/>
      <c r="Q69" s="36"/>
      <c r="X69" s="106"/>
      <c r="Y69" s="122"/>
    </row>
    <row r="70" spans="5:25" x14ac:dyDescent="0.25">
      <c r="I70" s="36"/>
      <c r="M70" s="36"/>
      <c r="Q70" s="36"/>
      <c r="X70" s="106"/>
      <c r="Y70" s="122"/>
    </row>
    <row r="71" spans="5:25" x14ac:dyDescent="0.25">
      <c r="I71" s="36"/>
      <c r="M71" s="36"/>
      <c r="Q71" s="36"/>
    </row>
    <row r="72" spans="5:25" x14ac:dyDescent="0.25">
      <c r="I72" s="36"/>
      <c r="M72" s="36"/>
      <c r="Q72" s="36"/>
      <c r="X72" s="106"/>
      <c r="Y72" s="122"/>
    </row>
    <row r="73" spans="5:25" x14ac:dyDescent="0.25">
      <c r="I73" s="36"/>
      <c r="M73" s="36"/>
      <c r="Q73" s="36"/>
    </row>
    <row r="74" spans="5:25" x14ac:dyDescent="0.25">
      <c r="I74" s="36"/>
      <c r="M74" s="36"/>
      <c r="Q74" s="36"/>
      <c r="X74" s="108"/>
    </row>
    <row r="75" spans="5:25" x14ac:dyDescent="0.25">
      <c r="I75" s="36"/>
      <c r="M75" s="36"/>
      <c r="Q75" s="36"/>
      <c r="X75" s="106"/>
    </row>
    <row r="76" spans="5:25" x14ac:dyDescent="0.25">
      <c r="I76" s="36"/>
      <c r="M76" s="36"/>
      <c r="Q76" s="36"/>
      <c r="X76" s="106"/>
    </row>
    <row r="77" spans="5:25" x14ac:dyDescent="0.25">
      <c r="I77" s="36"/>
      <c r="M77" s="36"/>
      <c r="Q77" s="36"/>
      <c r="X77" s="106"/>
    </row>
    <row r="78" spans="5:25" x14ac:dyDescent="0.25">
      <c r="I78" s="36"/>
      <c r="M78" s="36"/>
      <c r="Q78" s="36"/>
    </row>
    <row r="79" spans="5:25" x14ac:dyDescent="0.25">
      <c r="I79" s="36"/>
      <c r="M79" s="36"/>
      <c r="Q79" s="36"/>
    </row>
    <row r="80" spans="5:25" x14ac:dyDescent="0.25">
      <c r="I80" s="36"/>
      <c r="M80" s="36"/>
      <c r="Q80" s="36"/>
    </row>
    <row r="81" spans="9:17" x14ac:dyDescent="0.25">
      <c r="I81" s="36"/>
      <c r="M81" s="36"/>
      <c r="Q81" s="36"/>
    </row>
    <row r="82" spans="9:17" x14ac:dyDescent="0.25">
      <c r="I82" s="36"/>
      <c r="M82" s="36"/>
      <c r="Q82" s="36"/>
    </row>
    <row r="83" spans="9:17" x14ac:dyDescent="0.25">
      <c r="I83" s="36"/>
      <c r="M83" s="36"/>
      <c r="Q83" s="36"/>
    </row>
    <row r="84" spans="9:17" x14ac:dyDescent="0.25">
      <c r="I84" s="36"/>
      <c r="M84" s="36"/>
      <c r="Q84" s="36"/>
    </row>
    <row r="85" spans="9:17" x14ac:dyDescent="0.25">
      <c r="I85" s="36"/>
      <c r="M85" s="36"/>
      <c r="Q85" s="36"/>
    </row>
    <row r="86" spans="9:17" x14ac:dyDescent="0.25">
      <c r="I86" s="36"/>
      <c r="M86" s="36"/>
      <c r="Q86" s="36"/>
    </row>
    <row r="87" spans="9:17" x14ac:dyDescent="0.25">
      <c r="I87" s="36"/>
      <c r="M87" s="36"/>
      <c r="Q87" s="36"/>
    </row>
    <row r="88" spans="9:17" x14ac:dyDescent="0.25">
      <c r="I88" s="36"/>
      <c r="M88" s="36"/>
      <c r="Q88" s="36"/>
    </row>
    <row r="89" spans="9:17" x14ac:dyDescent="0.25">
      <c r="I89" s="36"/>
      <c r="M89" s="36"/>
      <c r="Q89" s="36"/>
    </row>
    <row r="90" spans="9:17" x14ac:dyDescent="0.25">
      <c r="I90" s="36"/>
      <c r="M90" s="36"/>
      <c r="Q90" s="36"/>
    </row>
    <row r="91" spans="9:17" x14ac:dyDescent="0.25">
      <c r="I91" s="36"/>
      <c r="M91" s="36"/>
      <c r="Q91" s="36"/>
    </row>
    <row r="92" spans="9:17" x14ac:dyDescent="0.25">
      <c r="I92" s="36"/>
      <c r="M92" s="36"/>
      <c r="Q92" s="36"/>
    </row>
    <row r="93" spans="9:17" x14ac:dyDescent="0.25">
      <c r="I93" s="36"/>
      <c r="M93" s="36"/>
      <c r="Q93" s="36"/>
    </row>
    <row r="94" spans="9:17" x14ac:dyDescent="0.25">
      <c r="I94" s="36"/>
      <c r="M94" s="36"/>
      <c r="Q94" s="36"/>
    </row>
    <row r="95" spans="9:17" x14ac:dyDescent="0.25">
      <c r="I95" s="36"/>
      <c r="M95" s="36"/>
      <c r="Q95" s="36"/>
    </row>
    <row r="96" spans="9:17" x14ac:dyDescent="0.25">
      <c r="I96" s="36"/>
      <c r="M96" s="36"/>
      <c r="Q96" s="36"/>
    </row>
    <row r="97" spans="9:17" x14ac:dyDescent="0.25">
      <c r="I97" s="36"/>
      <c r="M97" s="36"/>
      <c r="Q97" s="36"/>
    </row>
    <row r="98" spans="9:17" x14ac:dyDescent="0.25">
      <c r="I98" s="36"/>
      <c r="M98" s="36"/>
      <c r="Q98" s="36"/>
    </row>
    <row r="99" spans="9:17" x14ac:dyDescent="0.25">
      <c r="I99" s="36"/>
      <c r="M99" s="36"/>
      <c r="Q99" s="36"/>
    </row>
    <row r="100" spans="9:17" x14ac:dyDescent="0.25">
      <c r="I100" s="36"/>
      <c r="M100" s="36"/>
      <c r="Q100" s="36"/>
    </row>
    <row r="101" spans="9:17" x14ac:dyDescent="0.25">
      <c r="I101" s="36"/>
      <c r="M101" s="36"/>
      <c r="Q101" s="36"/>
    </row>
    <row r="102" spans="9:17" x14ac:dyDescent="0.25">
      <c r="I102" s="36"/>
      <c r="M102" s="36"/>
      <c r="Q102" s="36"/>
    </row>
    <row r="103" spans="9:17" x14ac:dyDescent="0.25">
      <c r="I103" s="36"/>
      <c r="M103" s="36"/>
      <c r="Q103" s="36"/>
    </row>
    <row r="104" spans="9:17" x14ac:dyDescent="0.25">
      <c r="I104" s="36"/>
      <c r="M104" s="36"/>
      <c r="Q104" s="36"/>
    </row>
    <row r="105" spans="9:17" x14ac:dyDescent="0.25">
      <c r="I105" s="36"/>
      <c r="M105" s="36"/>
      <c r="Q105" s="36"/>
    </row>
    <row r="106" spans="9:17" x14ac:dyDescent="0.25">
      <c r="I106" s="36"/>
      <c r="M106" s="36"/>
      <c r="Q106" s="36"/>
    </row>
    <row r="107" spans="9:17" x14ac:dyDescent="0.25">
      <c r="I107" s="36"/>
      <c r="M107" s="36"/>
      <c r="Q107" s="36"/>
    </row>
    <row r="108" spans="9:17" x14ac:dyDescent="0.25">
      <c r="I108" s="36"/>
      <c r="M108" s="36"/>
      <c r="Q108" s="36"/>
    </row>
    <row r="109" spans="9:17" x14ac:dyDescent="0.25">
      <c r="I109" s="36"/>
      <c r="M109" s="36"/>
      <c r="Q109" s="36"/>
    </row>
    <row r="110" spans="9:17" x14ac:dyDescent="0.25">
      <c r="I110" s="36"/>
      <c r="M110" s="36"/>
      <c r="Q110" s="36"/>
    </row>
    <row r="111" spans="9:17" x14ac:dyDescent="0.25">
      <c r="I111" s="36"/>
      <c r="M111" s="36"/>
      <c r="Q111" s="36"/>
    </row>
    <row r="112" spans="9:17" x14ac:dyDescent="0.25">
      <c r="I112" s="36"/>
      <c r="M112" s="36"/>
      <c r="Q112" s="36"/>
    </row>
    <row r="113" spans="9:17" x14ac:dyDescent="0.25">
      <c r="I113" s="36"/>
      <c r="M113" s="36"/>
      <c r="Q113" s="36"/>
    </row>
    <row r="114" spans="9:17" x14ac:dyDescent="0.25">
      <c r="I114" s="36"/>
      <c r="M114" s="36"/>
      <c r="Q114" s="36"/>
    </row>
    <row r="115" spans="9:17" x14ac:dyDescent="0.25">
      <c r="I115" s="36"/>
      <c r="M115" s="36"/>
      <c r="Q115" s="36"/>
    </row>
    <row r="116" spans="9:17" x14ac:dyDescent="0.25">
      <c r="I116" s="36"/>
      <c r="M116" s="36"/>
      <c r="Q116" s="36"/>
    </row>
    <row r="117" spans="9:17" x14ac:dyDescent="0.25">
      <c r="I117" s="36"/>
      <c r="M117" s="36"/>
      <c r="Q117" s="36"/>
    </row>
    <row r="118" spans="9:17" x14ac:dyDescent="0.25">
      <c r="I118" s="36"/>
      <c r="M118" s="36"/>
      <c r="Q118" s="36"/>
    </row>
    <row r="119" spans="9:17" x14ac:dyDescent="0.25">
      <c r="I119" s="36"/>
      <c r="M119" s="36"/>
      <c r="Q119" s="36"/>
    </row>
    <row r="120" spans="9:17" x14ac:dyDescent="0.25">
      <c r="I120" s="36"/>
      <c r="M120" s="36"/>
      <c r="Q120" s="36"/>
    </row>
    <row r="121" spans="9:17" x14ac:dyDescent="0.25">
      <c r="I121" s="36"/>
      <c r="M121" s="36"/>
      <c r="Q121" s="36"/>
    </row>
    <row r="122" spans="9:17" x14ac:dyDescent="0.25">
      <c r="I122" s="36"/>
      <c r="M122" s="36"/>
      <c r="Q122" s="36"/>
    </row>
    <row r="123" spans="9:17" x14ac:dyDescent="0.25">
      <c r="I123" s="36"/>
      <c r="M123" s="36"/>
      <c r="Q123" s="36"/>
    </row>
    <row r="124" spans="9:17" x14ac:dyDescent="0.25">
      <c r="I124" s="36"/>
      <c r="M124" s="36"/>
      <c r="Q124" s="36"/>
    </row>
    <row r="125" spans="9:17" x14ac:dyDescent="0.25">
      <c r="I125" s="36"/>
      <c r="M125" s="36"/>
      <c r="Q125" s="36"/>
    </row>
    <row r="126" spans="9:17" x14ac:dyDescent="0.25">
      <c r="I126" s="36"/>
      <c r="M126" s="36"/>
      <c r="Q126" s="36"/>
    </row>
    <row r="127" spans="9:17" x14ac:dyDescent="0.25">
      <c r="I127" s="36"/>
      <c r="M127" s="36"/>
      <c r="Q127" s="36"/>
    </row>
    <row r="128" spans="9:17" x14ac:dyDescent="0.25">
      <c r="I128" s="36"/>
      <c r="M128" s="36"/>
      <c r="Q128" s="36"/>
    </row>
    <row r="129" spans="9:17" x14ac:dyDescent="0.25">
      <c r="I129" s="36"/>
      <c r="M129" s="36"/>
      <c r="Q129" s="36"/>
    </row>
    <row r="130" spans="9:17" x14ac:dyDescent="0.25">
      <c r="I130" s="36"/>
      <c r="M130" s="36"/>
      <c r="Q130" s="36"/>
    </row>
    <row r="131" spans="9:17" x14ac:dyDescent="0.25">
      <c r="I131" s="36"/>
      <c r="M131" s="36"/>
      <c r="Q131" s="36"/>
    </row>
    <row r="132" spans="9:17" x14ac:dyDescent="0.25">
      <c r="I132" s="36"/>
      <c r="M132" s="36"/>
      <c r="Q132" s="36"/>
    </row>
    <row r="133" spans="9:17" x14ac:dyDescent="0.25">
      <c r="I133" s="36"/>
      <c r="M133" s="36"/>
      <c r="Q133" s="36"/>
    </row>
    <row r="134" spans="9:17" x14ac:dyDescent="0.25">
      <c r="I134" s="36"/>
      <c r="M134" s="36"/>
      <c r="Q134" s="36"/>
    </row>
    <row r="135" spans="9:17" x14ac:dyDescent="0.25">
      <c r="I135" s="36"/>
      <c r="M135" s="36"/>
      <c r="Q135" s="36"/>
    </row>
    <row r="136" spans="9:17" x14ac:dyDescent="0.25">
      <c r="M136" s="36"/>
      <c r="Q136" s="36"/>
    </row>
    <row r="137" spans="9:17" x14ac:dyDescent="0.25">
      <c r="M137" s="36"/>
      <c r="Q137" s="36"/>
    </row>
    <row r="138" spans="9:17" x14ac:dyDescent="0.25">
      <c r="M138" s="36"/>
      <c r="Q138" s="36"/>
    </row>
    <row r="139" spans="9:17" x14ac:dyDescent="0.25">
      <c r="M139" s="36"/>
      <c r="Q139" s="36"/>
    </row>
    <row r="140" spans="9:17" x14ac:dyDescent="0.25">
      <c r="M140" s="36"/>
      <c r="Q140" s="36"/>
    </row>
    <row r="141" spans="9:17" x14ac:dyDescent="0.25">
      <c r="M141" s="36"/>
      <c r="Q141" s="36"/>
    </row>
    <row r="142" spans="9:17" x14ac:dyDescent="0.25">
      <c r="M142" s="36"/>
      <c r="Q142" s="36"/>
    </row>
    <row r="143" spans="9:17" x14ac:dyDescent="0.25">
      <c r="M143" s="36"/>
      <c r="Q143" s="36"/>
    </row>
    <row r="144" spans="9:17" x14ac:dyDescent="0.25">
      <c r="M144" s="36"/>
      <c r="Q144" s="36"/>
    </row>
    <row r="145" spans="13:17" x14ac:dyDescent="0.25">
      <c r="M145" s="36"/>
      <c r="Q145" s="36"/>
    </row>
    <row r="146" spans="13:17" x14ac:dyDescent="0.25">
      <c r="M146" s="36"/>
      <c r="Q146" s="36"/>
    </row>
    <row r="147" spans="13:17" x14ac:dyDescent="0.25">
      <c r="M147" s="36"/>
      <c r="Q147" s="36"/>
    </row>
    <row r="148" spans="13:17" x14ac:dyDescent="0.25">
      <c r="M148" s="36"/>
      <c r="Q148" s="36"/>
    </row>
    <row r="149" spans="13:17" x14ac:dyDescent="0.25">
      <c r="M149" s="36"/>
      <c r="Q149" s="36"/>
    </row>
    <row r="150" spans="13:17" x14ac:dyDescent="0.25">
      <c r="M150" s="36"/>
      <c r="Q150" s="36"/>
    </row>
    <row r="151" spans="13:17" x14ac:dyDescent="0.25">
      <c r="M151" s="36"/>
      <c r="Q151" s="36"/>
    </row>
    <row r="152" spans="13:17" x14ac:dyDescent="0.25">
      <c r="M152" s="36"/>
      <c r="Q152" s="36"/>
    </row>
    <row r="153" spans="13:17" x14ac:dyDescent="0.25">
      <c r="M153" s="36"/>
      <c r="Q153" s="36"/>
    </row>
    <row r="154" spans="13:17" x14ac:dyDescent="0.25">
      <c r="M154" s="36"/>
      <c r="Q154" s="36"/>
    </row>
    <row r="155" spans="13:17" x14ac:dyDescent="0.25">
      <c r="M155" s="36"/>
      <c r="Q155" s="36"/>
    </row>
    <row r="156" spans="13:17" x14ac:dyDescent="0.25">
      <c r="M156" s="36"/>
      <c r="Q156" s="36"/>
    </row>
    <row r="157" spans="13:17" x14ac:dyDescent="0.25">
      <c r="M157" s="36"/>
      <c r="Q157" s="36"/>
    </row>
    <row r="158" spans="13:17" x14ac:dyDescent="0.25">
      <c r="M158" s="36"/>
      <c r="Q158" s="36"/>
    </row>
    <row r="159" spans="13:17" x14ac:dyDescent="0.25">
      <c r="M159" s="36"/>
      <c r="Q159" s="36"/>
    </row>
    <row r="160" spans="13:17" x14ac:dyDescent="0.25">
      <c r="M160" s="36"/>
      <c r="Q160" s="36"/>
    </row>
    <row r="161" spans="13:17" x14ac:dyDescent="0.25">
      <c r="M161" s="36"/>
      <c r="Q161" s="36"/>
    </row>
    <row r="162" spans="13:17" x14ac:dyDescent="0.25">
      <c r="M162" s="36"/>
      <c r="Q162" s="36"/>
    </row>
    <row r="163" spans="13:17" x14ac:dyDescent="0.25">
      <c r="M163" s="36"/>
      <c r="Q163" s="36"/>
    </row>
    <row r="164" spans="13:17" x14ac:dyDescent="0.25">
      <c r="M164" s="36"/>
      <c r="Q164" s="36"/>
    </row>
    <row r="165" spans="13:17" x14ac:dyDescent="0.25">
      <c r="M165" s="36"/>
      <c r="Q165" s="36"/>
    </row>
    <row r="166" spans="13:17" x14ac:dyDescent="0.25">
      <c r="M166" s="36"/>
      <c r="Q166" s="36"/>
    </row>
    <row r="167" spans="13:17" x14ac:dyDescent="0.25">
      <c r="M167" s="36"/>
      <c r="Q167" s="36"/>
    </row>
    <row r="168" spans="13:17" x14ac:dyDescent="0.25">
      <c r="M168" s="36"/>
      <c r="Q168" s="36"/>
    </row>
    <row r="169" spans="13:17" x14ac:dyDescent="0.25">
      <c r="M169" s="36"/>
      <c r="Q169" s="36"/>
    </row>
    <row r="170" spans="13:17" x14ac:dyDescent="0.25">
      <c r="M170" s="36"/>
      <c r="Q170" s="36"/>
    </row>
    <row r="171" spans="13:17" x14ac:dyDescent="0.25">
      <c r="M171" s="36"/>
      <c r="Q171" s="36"/>
    </row>
    <row r="172" spans="13:17" x14ac:dyDescent="0.25">
      <c r="M172" s="36"/>
      <c r="Q172" s="36"/>
    </row>
    <row r="173" spans="13:17" x14ac:dyDescent="0.25">
      <c r="M173" s="36"/>
      <c r="Q173" s="36"/>
    </row>
    <row r="174" spans="13:17" x14ac:dyDescent="0.25">
      <c r="M174" s="36"/>
      <c r="Q174" s="36"/>
    </row>
    <row r="175" spans="13:17" x14ac:dyDescent="0.25">
      <c r="M175" s="36"/>
      <c r="Q175" s="36"/>
    </row>
    <row r="176" spans="13:17" x14ac:dyDescent="0.25">
      <c r="M176" s="36"/>
      <c r="Q176" s="36"/>
    </row>
    <row r="177" spans="13:17" x14ac:dyDescent="0.25">
      <c r="M177" s="36"/>
      <c r="Q177" s="36"/>
    </row>
    <row r="178" spans="13:17" x14ac:dyDescent="0.25">
      <c r="M178" s="36"/>
      <c r="Q178" s="36"/>
    </row>
    <row r="179" spans="13:17" x14ac:dyDescent="0.25">
      <c r="M179" s="36"/>
      <c r="Q179" s="36"/>
    </row>
    <row r="180" spans="13:17" x14ac:dyDescent="0.25">
      <c r="M180" s="36"/>
      <c r="Q180" s="36"/>
    </row>
    <row r="181" spans="13:17" x14ac:dyDescent="0.25">
      <c r="M181" s="36"/>
      <c r="Q181" s="36"/>
    </row>
    <row r="182" spans="13:17" x14ac:dyDescent="0.25">
      <c r="M182" s="36"/>
      <c r="Q182" s="36"/>
    </row>
    <row r="183" spans="13:17" x14ac:dyDescent="0.25">
      <c r="M183" s="36"/>
      <c r="Q183" s="36"/>
    </row>
    <row r="184" spans="13:17" x14ac:dyDescent="0.25">
      <c r="M184" s="36"/>
      <c r="Q184" s="36"/>
    </row>
    <row r="185" spans="13:17" x14ac:dyDescent="0.25">
      <c r="M185" s="36"/>
      <c r="Q185" s="36"/>
    </row>
    <row r="186" spans="13:17" x14ac:dyDescent="0.25">
      <c r="M186" s="36"/>
      <c r="Q186" s="36"/>
    </row>
    <row r="187" spans="13:17" x14ac:dyDescent="0.25">
      <c r="M187" s="36"/>
      <c r="Q187" s="36"/>
    </row>
    <row r="188" spans="13:17" x14ac:dyDescent="0.25">
      <c r="M188" s="36"/>
      <c r="Q188" s="36"/>
    </row>
    <row r="189" spans="13:17" x14ac:dyDescent="0.25">
      <c r="M189" s="36"/>
      <c r="Q189" s="36"/>
    </row>
    <row r="190" spans="13:17" x14ac:dyDescent="0.25">
      <c r="M190" s="36"/>
      <c r="Q190" s="36"/>
    </row>
    <row r="191" spans="13:17" x14ac:dyDescent="0.25">
      <c r="M191" s="36"/>
      <c r="Q191" s="36"/>
    </row>
    <row r="192" spans="13:17" x14ac:dyDescent="0.25">
      <c r="M192" s="36"/>
      <c r="Q192" s="36"/>
    </row>
    <row r="193" spans="13:17" x14ac:dyDescent="0.25">
      <c r="M193" s="36"/>
      <c r="Q193" s="36"/>
    </row>
    <row r="194" spans="13:17" x14ac:dyDescent="0.25">
      <c r="M194" s="36"/>
      <c r="Q194" s="36"/>
    </row>
    <row r="195" spans="13:17" x14ac:dyDescent="0.25">
      <c r="M195" s="36"/>
      <c r="Q195" s="36"/>
    </row>
    <row r="196" spans="13:17" x14ac:dyDescent="0.25">
      <c r="M196" s="36"/>
      <c r="Q196" s="36"/>
    </row>
    <row r="197" spans="13:17" x14ac:dyDescent="0.25">
      <c r="M197" s="36"/>
      <c r="Q197" s="36"/>
    </row>
    <row r="198" spans="13:17" x14ac:dyDescent="0.25">
      <c r="M198" s="36"/>
      <c r="Q198" s="36"/>
    </row>
    <row r="199" spans="13:17" x14ac:dyDescent="0.25">
      <c r="M199" s="36"/>
      <c r="Q199" s="36"/>
    </row>
    <row r="200" spans="13:17" x14ac:dyDescent="0.25">
      <c r="M200" s="36"/>
      <c r="Q200" s="36"/>
    </row>
    <row r="201" spans="13:17" x14ac:dyDescent="0.25">
      <c r="M201" s="36"/>
      <c r="Q201" s="36"/>
    </row>
    <row r="202" spans="13:17" x14ac:dyDescent="0.25">
      <c r="M202" s="36"/>
      <c r="Q202" s="36"/>
    </row>
    <row r="203" spans="13:17" x14ac:dyDescent="0.25">
      <c r="M203" s="36"/>
      <c r="Q203" s="36"/>
    </row>
    <row r="204" spans="13:17" x14ac:dyDescent="0.25">
      <c r="M204" s="36"/>
      <c r="Q204" s="36"/>
    </row>
    <row r="205" spans="13:17" x14ac:dyDescent="0.25">
      <c r="M205" s="36"/>
      <c r="Q205" s="36"/>
    </row>
    <row r="206" spans="13:17" x14ac:dyDescent="0.25">
      <c r="M206" s="36"/>
      <c r="Q206" s="36"/>
    </row>
    <row r="207" spans="13:17" x14ac:dyDescent="0.25">
      <c r="M207" s="36"/>
      <c r="Q207" s="36"/>
    </row>
    <row r="208" spans="13:17" x14ac:dyDescent="0.25">
      <c r="M208" s="36"/>
      <c r="Q208" s="36"/>
    </row>
    <row r="209" spans="13:17" x14ac:dyDescent="0.25">
      <c r="M209" s="36"/>
      <c r="Q209" s="36"/>
    </row>
    <row r="210" spans="13:17" x14ac:dyDescent="0.25">
      <c r="M210" s="36"/>
      <c r="Q210" s="36"/>
    </row>
    <row r="211" spans="13:17" x14ac:dyDescent="0.25">
      <c r="M211" s="36"/>
      <c r="Q211" s="36"/>
    </row>
    <row r="212" spans="13:17" x14ac:dyDescent="0.25">
      <c r="M212" s="36"/>
      <c r="Q212" s="36"/>
    </row>
    <row r="213" spans="13:17" x14ac:dyDescent="0.25">
      <c r="M213" s="36"/>
      <c r="Q213" s="36"/>
    </row>
    <row r="214" spans="13:17" x14ac:dyDescent="0.25">
      <c r="M214" s="36"/>
      <c r="Q214" s="36"/>
    </row>
    <row r="215" spans="13:17" x14ac:dyDescent="0.25">
      <c r="M215" s="36"/>
      <c r="Q215" s="36"/>
    </row>
    <row r="216" spans="13:17" x14ac:dyDescent="0.25">
      <c r="M216" s="36"/>
      <c r="Q216" s="36"/>
    </row>
    <row r="217" spans="13:17" x14ac:dyDescent="0.25">
      <c r="M217" s="36"/>
      <c r="Q217" s="36"/>
    </row>
    <row r="218" spans="13:17" x14ac:dyDescent="0.25">
      <c r="M218" s="36"/>
      <c r="Q218" s="36"/>
    </row>
    <row r="219" spans="13:17" x14ac:dyDescent="0.25">
      <c r="M219" s="36"/>
      <c r="Q219" s="36"/>
    </row>
    <row r="220" spans="13:17" x14ac:dyDescent="0.25">
      <c r="M220" s="36"/>
      <c r="Q220" s="36"/>
    </row>
    <row r="221" spans="13:17" x14ac:dyDescent="0.25">
      <c r="M221" s="36"/>
      <c r="Q221" s="36"/>
    </row>
    <row r="222" spans="13:17" x14ac:dyDescent="0.25">
      <c r="M222" s="36"/>
      <c r="Q222" s="36"/>
    </row>
    <row r="223" spans="13:17" x14ac:dyDescent="0.25">
      <c r="M223" s="36"/>
      <c r="Q223" s="36"/>
    </row>
    <row r="224" spans="13:17" x14ac:dyDescent="0.25">
      <c r="M224" s="36"/>
      <c r="Q224" s="36"/>
    </row>
    <row r="225" spans="13:17" x14ac:dyDescent="0.25">
      <c r="M225" s="36"/>
      <c r="Q225" s="36"/>
    </row>
    <row r="226" spans="13:17" x14ac:dyDescent="0.25">
      <c r="M226" s="36"/>
      <c r="Q226" s="36"/>
    </row>
    <row r="227" spans="13:17" x14ac:dyDescent="0.25">
      <c r="M227" s="36"/>
      <c r="Q227" s="36"/>
    </row>
    <row r="228" spans="13:17" x14ac:dyDescent="0.25">
      <c r="M228" s="36"/>
      <c r="Q228" s="36"/>
    </row>
    <row r="229" spans="13:17" x14ac:dyDescent="0.25">
      <c r="M229" s="36"/>
      <c r="Q229" s="36"/>
    </row>
    <row r="230" spans="13:17" x14ac:dyDescent="0.25">
      <c r="M230" s="36"/>
      <c r="Q230" s="36"/>
    </row>
    <row r="231" spans="13:17" x14ac:dyDescent="0.25">
      <c r="M231" s="36"/>
      <c r="Q231" s="36"/>
    </row>
    <row r="232" spans="13:17" x14ac:dyDescent="0.25">
      <c r="M232" s="36"/>
      <c r="Q232" s="36"/>
    </row>
    <row r="233" spans="13:17" x14ac:dyDescent="0.25">
      <c r="M233" s="36"/>
      <c r="Q233" s="36"/>
    </row>
    <row r="234" spans="13:17" x14ac:dyDescent="0.25">
      <c r="M234" s="36"/>
      <c r="Q234" s="36"/>
    </row>
    <row r="235" spans="13:17" x14ac:dyDescent="0.25">
      <c r="M235" s="36"/>
      <c r="Q235" s="36"/>
    </row>
    <row r="236" spans="13:17" x14ac:dyDescent="0.25">
      <c r="M236" s="36"/>
      <c r="Q236" s="36"/>
    </row>
    <row r="237" spans="13:17" x14ac:dyDescent="0.25">
      <c r="M237" s="36"/>
      <c r="Q237" s="36"/>
    </row>
    <row r="238" spans="13:17" x14ac:dyDescent="0.25">
      <c r="M238" s="36"/>
      <c r="Q238" s="36"/>
    </row>
    <row r="239" spans="13:17" x14ac:dyDescent="0.25">
      <c r="M239" s="36"/>
      <c r="Q239" s="36"/>
    </row>
    <row r="240" spans="13:17" x14ac:dyDescent="0.25">
      <c r="M240" s="36"/>
      <c r="Q240" s="36"/>
    </row>
    <row r="241" spans="13:17" x14ac:dyDescent="0.25">
      <c r="M241" s="36"/>
      <c r="Q241" s="36"/>
    </row>
    <row r="242" spans="13:17" x14ac:dyDescent="0.25">
      <c r="M242" s="36"/>
      <c r="Q242" s="36"/>
    </row>
    <row r="243" spans="13:17" x14ac:dyDescent="0.25">
      <c r="M243" s="36"/>
      <c r="Q243" s="36"/>
    </row>
    <row r="244" spans="13:17" x14ac:dyDescent="0.25">
      <c r="M244" s="36"/>
      <c r="Q244" s="36"/>
    </row>
    <row r="245" spans="13:17" x14ac:dyDescent="0.25">
      <c r="M245" s="36"/>
      <c r="Q245" s="36"/>
    </row>
    <row r="246" spans="13:17" x14ac:dyDescent="0.25">
      <c r="M246" s="36"/>
      <c r="Q246" s="36"/>
    </row>
    <row r="247" spans="13:17" x14ac:dyDescent="0.25">
      <c r="M247" s="36"/>
      <c r="Q247" s="36"/>
    </row>
    <row r="248" spans="13:17" x14ac:dyDescent="0.25">
      <c r="M248" s="36"/>
      <c r="Q248" s="36"/>
    </row>
    <row r="249" spans="13:17" x14ac:dyDescent="0.25">
      <c r="M249" s="36"/>
      <c r="Q249" s="36"/>
    </row>
    <row r="250" spans="13:17" x14ac:dyDescent="0.25">
      <c r="M250" s="36"/>
      <c r="Q250" s="36"/>
    </row>
    <row r="251" spans="13:17" x14ac:dyDescent="0.25">
      <c r="M251" s="36"/>
      <c r="Q251" s="36"/>
    </row>
    <row r="252" spans="13:17" x14ac:dyDescent="0.25">
      <c r="M252" s="36"/>
      <c r="Q252" s="36"/>
    </row>
    <row r="253" spans="13:17" x14ac:dyDescent="0.25">
      <c r="M253" s="36"/>
      <c r="Q253" s="36"/>
    </row>
    <row r="254" spans="13:17" x14ac:dyDescent="0.25">
      <c r="M254" s="36"/>
      <c r="Q254" s="36"/>
    </row>
    <row r="255" spans="13:17" x14ac:dyDescent="0.25">
      <c r="M255" s="36"/>
      <c r="Q255" s="36"/>
    </row>
    <row r="256" spans="13:17" x14ac:dyDescent="0.25">
      <c r="M256" s="36"/>
      <c r="Q256" s="36"/>
    </row>
    <row r="257" spans="13:17" x14ac:dyDescent="0.25">
      <c r="M257" s="36"/>
      <c r="Q257" s="36"/>
    </row>
    <row r="258" spans="13:17" x14ac:dyDescent="0.25">
      <c r="M258" s="36"/>
      <c r="Q258" s="36"/>
    </row>
    <row r="259" spans="13:17" x14ac:dyDescent="0.25">
      <c r="M259" s="36"/>
      <c r="Q259" s="36"/>
    </row>
    <row r="260" spans="13:17" x14ac:dyDescent="0.25">
      <c r="M260" s="36"/>
      <c r="Q260" s="36"/>
    </row>
    <row r="261" spans="13:17" x14ac:dyDescent="0.25">
      <c r="M261" s="36"/>
      <c r="Q261" s="36"/>
    </row>
    <row r="262" spans="13:17" x14ac:dyDescent="0.25">
      <c r="M262" s="36"/>
      <c r="Q262" s="36"/>
    </row>
    <row r="263" spans="13:17" x14ac:dyDescent="0.25">
      <c r="M263" s="36"/>
      <c r="Q263" s="36"/>
    </row>
    <row r="264" spans="13:17" x14ac:dyDescent="0.25">
      <c r="M264" s="36"/>
      <c r="Q264" s="36"/>
    </row>
    <row r="265" spans="13:17" x14ac:dyDescent="0.25">
      <c r="M265" s="36"/>
      <c r="Q265" s="36"/>
    </row>
    <row r="266" spans="13:17" x14ac:dyDescent="0.25">
      <c r="M266" s="36"/>
      <c r="Q266" s="36"/>
    </row>
    <row r="267" spans="13:17" x14ac:dyDescent="0.25">
      <c r="M267" s="36"/>
      <c r="Q267" s="36"/>
    </row>
    <row r="268" spans="13:17" x14ac:dyDescent="0.25">
      <c r="M268" s="36"/>
      <c r="Q268" s="36"/>
    </row>
    <row r="269" spans="13:17" x14ac:dyDescent="0.25">
      <c r="M269" s="36"/>
      <c r="Q269" s="36"/>
    </row>
    <row r="270" spans="13:17" x14ac:dyDescent="0.25">
      <c r="M270" s="36"/>
      <c r="Q270" s="36"/>
    </row>
    <row r="271" spans="13:17" x14ac:dyDescent="0.25">
      <c r="M271" s="36"/>
      <c r="Q271" s="36"/>
    </row>
    <row r="272" spans="13:17" x14ac:dyDescent="0.25">
      <c r="M272" s="36"/>
      <c r="Q272" s="36"/>
    </row>
    <row r="273" spans="13:17" x14ac:dyDescent="0.25">
      <c r="M273" s="36"/>
      <c r="Q273" s="36"/>
    </row>
    <row r="274" spans="13:17" x14ac:dyDescent="0.25">
      <c r="M274" s="36"/>
      <c r="Q274" s="36"/>
    </row>
    <row r="275" spans="13:17" x14ac:dyDescent="0.25">
      <c r="M275" s="36"/>
      <c r="Q275" s="36"/>
    </row>
    <row r="276" spans="13:17" x14ac:dyDescent="0.25">
      <c r="M276" s="36"/>
      <c r="Q276" s="36"/>
    </row>
    <row r="277" spans="13:17" x14ac:dyDescent="0.25">
      <c r="M277" s="36"/>
      <c r="Q277" s="36"/>
    </row>
    <row r="278" spans="13:17" x14ac:dyDescent="0.25">
      <c r="M278" s="36"/>
      <c r="Q278" s="36"/>
    </row>
    <row r="279" spans="13:17" x14ac:dyDescent="0.25">
      <c r="M279" s="36"/>
      <c r="Q279" s="36"/>
    </row>
    <row r="280" spans="13:17" x14ac:dyDescent="0.25">
      <c r="M280" s="36"/>
      <c r="Q280" s="36"/>
    </row>
    <row r="281" spans="13:17" x14ac:dyDescent="0.25">
      <c r="M281" s="36"/>
      <c r="Q281" s="36"/>
    </row>
    <row r="282" spans="13:17" x14ac:dyDescent="0.25">
      <c r="M282" s="36"/>
      <c r="Q282" s="36"/>
    </row>
    <row r="283" spans="13:17" x14ac:dyDescent="0.25">
      <c r="M283" s="36"/>
      <c r="Q283" s="36"/>
    </row>
    <row r="284" spans="13:17" x14ac:dyDescent="0.25">
      <c r="M284" s="36"/>
      <c r="Q284" s="36"/>
    </row>
    <row r="285" spans="13:17" x14ac:dyDescent="0.25">
      <c r="M285" s="36"/>
      <c r="Q285" s="36"/>
    </row>
    <row r="286" spans="13:17" x14ac:dyDescent="0.25">
      <c r="M286" s="36"/>
      <c r="Q286" s="36"/>
    </row>
    <row r="287" spans="13:17" x14ac:dyDescent="0.25">
      <c r="M287" s="36"/>
      <c r="Q287" s="36"/>
    </row>
    <row r="288" spans="13:17" x14ac:dyDescent="0.25">
      <c r="M288" s="36"/>
      <c r="Q288" s="36"/>
    </row>
    <row r="289" spans="13:17" x14ac:dyDescent="0.25">
      <c r="M289" s="36"/>
      <c r="Q289" s="36"/>
    </row>
    <row r="290" spans="13:17" x14ac:dyDescent="0.25">
      <c r="M290" s="36"/>
      <c r="Q290" s="36"/>
    </row>
    <row r="291" spans="13:17" x14ac:dyDescent="0.25">
      <c r="M291" s="36"/>
      <c r="Q291" s="36"/>
    </row>
    <row r="292" spans="13:17" x14ac:dyDescent="0.25">
      <c r="M292" s="36"/>
      <c r="Q292" s="36"/>
    </row>
    <row r="293" spans="13:17" x14ac:dyDescent="0.25">
      <c r="M293" s="36"/>
      <c r="Q293" s="36"/>
    </row>
    <row r="294" spans="13:17" x14ac:dyDescent="0.25">
      <c r="M294" s="36"/>
      <c r="Q294" s="36"/>
    </row>
    <row r="295" spans="13:17" x14ac:dyDescent="0.25">
      <c r="M295" s="36"/>
      <c r="Q295" s="36"/>
    </row>
    <row r="296" spans="13:17" x14ac:dyDescent="0.25">
      <c r="M296" s="36"/>
      <c r="Q296" s="36"/>
    </row>
    <row r="297" spans="13:17" x14ac:dyDescent="0.25">
      <c r="M297" s="36"/>
      <c r="Q297" s="36"/>
    </row>
    <row r="298" spans="13:17" x14ac:dyDescent="0.25">
      <c r="M298" s="36"/>
      <c r="Q298" s="36"/>
    </row>
    <row r="299" spans="13:17" x14ac:dyDescent="0.25">
      <c r="M299" s="36"/>
      <c r="Q299" s="36"/>
    </row>
    <row r="300" spans="13:17" x14ac:dyDescent="0.25">
      <c r="M300" s="36"/>
      <c r="Q300" s="36"/>
    </row>
    <row r="301" spans="13:17" x14ac:dyDescent="0.25">
      <c r="M301" s="36"/>
      <c r="Q301" s="36"/>
    </row>
    <row r="302" spans="13:17" x14ac:dyDescent="0.25">
      <c r="M302" s="36"/>
      <c r="Q302" s="36"/>
    </row>
    <row r="303" spans="13:17" x14ac:dyDescent="0.25">
      <c r="M303" s="36"/>
      <c r="Q303" s="36"/>
    </row>
    <row r="304" spans="13:17" x14ac:dyDescent="0.25">
      <c r="M304" s="36"/>
      <c r="Q304" s="36"/>
    </row>
    <row r="305" spans="13:17" x14ac:dyDescent="0.25">
      <c r="M305" s="36"/>
      <c r="Q305" s="36"/>
    </row>
    <row r="306" spans="13:17" x14ac:dyDescent="0.25">
      <c r="M306" s="36"/>
      <c r="Q306" s="36"/>
    </row>
    <row r="307" spans="13:17" x14ac:dyDescent="0.25">
      <c r="M307" s="36"/>
      <c r="Q307" s="36"/>
    </row>
    <row r="308" spans="13:17" x14ac:dyDescent="0.25">
      <c r="M308" s="36"/>
      <c r="Q308" s="36"/>
    </row>
    <row r="309" spans="13:17" x14ac:dyDescent="0.25">
      <c r="M309" s="36"/>
      <c r="Q309" s="36"/>
    </row>
    <row r="310" spans="13:17" x14ac:dyDescent="0.25">
      <c r="M310" s="36"/>
      <c r="Q310" s="36"/>
    </row>
    <row r="311" spans="13:17" x14ac:dyDescent="0.25">
      <c r="M311" s="36"/>
      <c r="Q311" s="36"/>
    </row>
    <row r="312" spans="13:17" x14ac:dyDescent="0.25">
      <c r="M312" s="36"/>
      <c r="Q312" s="36"/>
    </row>
    <row r="313" spans="13:17" x14ac:dyDescent="0.25">
      <c r="M313" s="36"/>
      <c r="Q313" s="36"/>
    </row>
    <row r="314" spans="13:17" x14ac:dyDescent="0.25">
      <c r="M314" s="36"/>
      <c r="Q314" s="36"/>
    </row>
    <row r="315" spans="13:17" x14ac:dyDescent="0.25">
      <c r="M315" s="36"/>
      <c r="Q315" s="36"/>
    </row>
    <row r="316" spans="13:17" x14ac:dyDescent="0.25">
      <c r="M316" s="36"/>
      <c r="Q316" s="36"/>
    </row>
    <row r="317" spans="13:17" x14ac:dyDescent="0.25">
      <c r="M317" s="36"/>
      <c r="Q317" s="36"/>
    </row>
    <row r="318" spans="13:17" x14ac:dyDescent="0.25">
      <c r="M318" s="36"/>
      <c r="Q318" s="36"/>
    </row>
    <row r="319" spans="13:17" x14ac:dyDescent="0.25">
      <c r="M319" s="36"/>
      <c r="Q319" s="36"/>
    </row>
    <row r="320" spans="13:17" x14ac:dyDescent="0.25">
      <c r="M320" s="36"/>
      <c r="Q320" s="36"/>
    </row>
    <row r="321" spans="13:17" x14ac:dyDescent="0.25">
      <c r="M321" s="36"/>
      <c r="Q321" s="36"/>
    </row>
    <row r="322" spans="13:17" x14ac:dyDescent="0.25">
      <c r="M322" s="36"/>
      <c r="Q322" s="36"/>
    </row>
    <row r="323" spans="13:17" x14ac:dyDescent="0.25">
      <c r="M323" s="36"/>
      <c r="Q323" s="36"/>
    </row>
    <row r="324" spans="13:17" x14ac:dyDescent="0.25">
      <c r="M324" s="36"/>
      <c r="Q324" s="36"/>
    </row>
    <row r="325" spans="13:17" x14ac:dyDescent="0.25">
      <c r="M325" s="36"/>
      <c r="Q325" s="36"/>
    </row>
    <row r="326" spans="13:17" x14ac:dyDescent="0.25">
      <c r="M326" s="36"/>
      <c r="Q326" s="36"/>
    </row>
    <row r="327" spans="13:17" x14ac:dyDescent="0.25">
      <c r="M327" s="36"/>
      <c r="Q327" s="36"/>
    </row>
    <row r="328" spans="13:17" x14ac:dyDescent="0.25">
      <c r="M328" s="36"/>
      <c r="Q328" s="36"/>
    </row>
    <row r="329" spans="13:17" x14ac:dyDescent="0.25">
      <c r="M329" s="36"/>
      <c r="Q329" s="36"/>
    </row>
    <row r="330" spans="13:17" x14ac:dyDescent="0.25">
      <c r="M330" s="36"/>
      <c r="Q330" s="36"/>
    </row>
    <row r="331" spans="13:17" x14ac:dyDescent="0.25">
      <c r="M331" s="36"/>
      <c r="Q331" s="36"/>
    </row>
    <row r="332" spans="13:17" x14ac:dyDescent="0.25">
      <c r="M332" s="36"/>
      <c r="Q332" s="36"/>
    </row>
    <row r="333" spans="13:17" x14ac:dyDescent="0.25">
      <c r="M333" s="36"/>
      <c r="Q333" s="36"/>
    </row>
    <row r="334" spans="13:17" x14ac:dyDescent="0.25">
      <c r="M334" s="36"/>
      <c r="Q334" s="36"/>
    </row>
    <row r="335" spans="13:17" x14ac:dyDescent="0.25">
      <c r="M335" s="36"/>
      <c r="Q335" s="36"/>
    </row>
    <row r="336" spans="13:17" x14ac:dyDescent="0.25">
      <c r="M336" s="36"/>
      <c r="Q336" s="36"/>
    </row>
    <row r="337" spans="13:17" x14ac:dyDescent="0.25">
      <c r="M337" s="36"/>
      <c r="Q337" s="36"/>
    </row>
    <row r="338" spans="13:17" x14ac:dyDescent="0.25">
      <c r="M338" s="36"/>
      <c r="Q338" s="36"/>
    </row>
    <row r="339" spans="13:17" x14ac:dyDescent="0.25">
      <c r="M339" s="36"/>
      <c r="Q339" s="36"/>
    </row>
    <row r="340" spans="13:17" x14ac:dyDescent="0.25">
      <c r="M340" s="36"/>
      <c r="Q340" s="36"/>
    </row>
    <row r="341" spans="13:17" x14ac:dyDescent="0.25">
      <c r="M341" s="36"/>
      <c r="Q341" s="36"/>
    </row>
    <row r="342" spans="13:17" x14ac:dyDescent="0.25">
      <c r="M342" s="36"/>
      <c r="Q342" s="36"/>
    </row>
    <row r="343" spans="13:17" x14ac:dyDescent="0.25">
      <c r="M343" s="36"/>
      <c r="Q343" s="36"/>
    </row>
    <row r="344" spans="13:17" x14ac:dyDescent="0.25">
      <c r="M344" s="36"/>
      <c r="Q344" s="36"/>
    </row>
    <row r="345" spans="13:17" x14ac:dyDescent="0.25">
      <c r="M345" s="36"/>
      <c r="Q345" s="36"/>
    </row>
    <row r="346" spans="13:17" x14ac:dyDescent="0.25">
      <c r="M346" s="36"/>
      <c r="Q346" s="36"/>
    </row>
    <row r="347" spans="13:17" x14ac:dyDescent="0.25">
      <c r="M347" s="36"/>
      <c r="Q347" s="36"/>
    </row>
    <row r="348" spans="13:17" x14ac:dyDescent="0.25">
      <c r="M348" s="36"/>
      <c r="Q348" s="36"/>
    </row>
    <row r="349" spans="13:17" x14ac:dyDescent="0.25">
      <c r="M349" s="36"/>
      <c r="Q349" s="36"/>
    </row>
    <row r="350" spans="13:17" x14ac:dyDescent="0.25">
      <c r="M350" s="36"/>
      <c r="Q350" s="36"/>
    </row>
    <row r="351" spans="13:17" x14ac:dyDescent="0.25">
      <c r="M351" s="36"/>
      <c r="Q351" s="36"/>
    </row>
    <row r="352" spans="13:17" x14ac:dyDescent="0.25">
      <c r="M352" s="36"/>
      <c r="Q352" s="36"/>
    </row>
    <row r="353" spans="13:17" x14ac:dyDescent="0.25">
      <c r="M353" s="36"/>
      <c r="Q353" s="36"/>
    </row>
    <row r="354" spans="13:17" x14ac:dyDescent="0.25">
      <c r="M354" s="36"/>
      <c r="Q354" s="36"/>
    </row>
    <row r="355" spans="13:17" x14ac:dyDescent="0.25">
      <c r="M355" s="36"/>
      <c r="Q355" s="36"/>
    </row>
    <row r="356" spans="13:17" x14ac:dyDescent="0.25">
      <c r="M356" s="36"/>
      <c r="Q356" s="36"/>
    </row>
    <row r="357" spans="13:17" x14ac:dyDescent="0.25">
      <c r="M357" s="36"/>
      <c r="Q357" s="36"/>
    </row>
    <row r="358" spans="13:17" x14ac:dyDescent="0.25">
      <c r="M358" s="36"/>
      <c r="Q358" s="36"/>
    </row>
    <row r="359" spans="13:17" x14ac:dyDescent="0.25">
      <c r="M359" s="36"/>
      <c r="Q359" s="36"/>
    </row>
    <row r="360" spans="13:17" x14ac:dyDescent="0.25">
      <c r="M360" s="36"/>
      <c r="Q360" s="36"/>
    </row>
    <row r="361" spans="13:17" x14ac:dyDescent="0.25">
      <c r="M361" s="36"/>
      <c r="Q361" s="36"/>
    </row>
    <row r="362" spans="13:17" x14ac:dyDescent="0.25">
      <c r="M362" s="36"/>
      <c r="Q362" s="36"/>
    </row>
    <row r="363" spans="13:17" x14ac:dyDescent="0.25">
      <c r="M363" s="36"/>
      <c r="Q363" s="36"/>
    </row>
    <row r="364" spans="13:17" x14ac:dyDescent="0.25">
      <c r="M364" s="36"/>
      <c r="Q364" s="36"/>
    </row>
    <row r="365" spans="13:17" x14ac:dyDescent="0.25">
      <c r="M365" s="36"/>
      <c r="Q365" s="36"/>
    </row>
    <row r="366" spans="13:17" x14ac:dyDescent="0.25">
      <c r="M366" s="36"/>
      <c r="Q366" s="36"/>
    </row>
    <row r="367" spans="13:17" x14ac:dyDescent="0.25">
      <c r="M367" s="36"/>
      <c r="Q367" s="36"/>
    </row>
    <row r="368" spans="13:17" x14ac:dyDescent="0.25">
      <c r="M368" s="36"/>
      <c r="Q368" s="36"/>
    </row>
    <row r="369" spans="13:17" x14ac:dyDescent="0.25">
      <c r="M369" s="36"/>
      <c r="Q369" s="36"/>
    </row>
    <row r="370" spans="13:17" x14ac:dyDescent="0.25">
      <c r="M370" s="36"/>
      <c r="Q370" s="36"/>
    </row>
    <row r="371" spans="13:17" x14ac:dyDescent="0.25">
      <c r="M371" s="36"/>
      <c r="Q371" s="36"/>
    </row>
    <row r="372" spans="13:17" x14ac:dyDescent="0.25">
      <c r="M372" s="36"/>
      <c r="Q372" s="36"/>
    </row>
    <row r="373" spans="13:17" x14ac:dyDescent="0.25">
      <c r="M373" s="36"/>
      <c r="Q373" s="36"/>
    </row>
    <row r="374" spans="13:17" x14ac:dyDescent="0.25">
      <c r="M374" s="36"/>
      <c r="Q374" s="36"/>
    </row>
    <row r="375" spans="13:17" x14ac:dyDescent="0.25">
      <c r="M375" s="36"/>
      <c r="Q375" s="36"/>
    </row>
    <row r="376" spans="13:17" x14ac:dyDescent="0.25">
      <c r="M376" s="36"/>
      <c r="Q376" s="36"/>
    </row>
    <row r="377" spans="13:17" x14ac:dyDescent="0.25">
      <c r="M377" s="36"/>
      <c r="Q377" s="36"/>
    </row>
    <row r="378" spans="13:17" x14ac:dyDescent="0.25">
      <c r="M378" s="36"/>
      <c r="Q378" s="36"/>
    </row>
    <row r="379" spans="13:17" x14ac:dyDescent="0.25">
      <c r="M379" s="36"/>
      <c r="Q379" s="36"/>
    </row>
    <row r="380" spans="13:17" x14ac:dyDescent="0.25">
      <c r="M380" s="36"/>
      <c r="Q380" s="36"/>
    </row>
    <row r="381" spans="13:17" x14ac:dyDescent="0.25">
      <c r="M381" s="36"/>
      <c r="Q381" s="36"/>
    </row>
    <row r="382" spans="13:17" x14ac:dyDescent="0.25">
      <c r="M382" s="36"/>
      <c r="Q382" s="36"/>
    </row>
    <row r="383" spans="13:17" x14ac:dyDescent="0.25">
      <c r="M383" s="36"/>
      <c r="Q383" s="36"/>
    </row>
    <row r="384" spans="13:17" x14ac:dyDescent="0.25">
      <c r="M384" s="36"/>
      <c r="Q384" s="36"/>
    </row>
    <row r="385" spans="13:17" x14ac:dyDescent="0.25">
      <c r="M385" s="36"/>
      <c r="Q385" s="36"/>
    </row>
    <row r="386" spans="13:17" x14ac:dyDescent="0.25">
      <c r="M386" s="36"/>
      <c r="Q386" s="36"/>
    </row>
    <row r="387" spans="13:17" x14ac:dyDescent="0.25">
      <c r="M387" s="36"/>
      <c r="Q387" s="36"/>
    </row>
    <row r="388" spans="13:17" x14ac:dyDescent="0.25">
      <c r="M388" s="36"/>
      <c r="Q388" s="36"/>
    </row>
    <row r="389" spans="13:17" x14ac:dyDescent="0.25">
      <c r="M389" s="36"/>
      <c r="Q389" s="36"/>
    </row>
    <row r="390" spans="13:17" x14ac:dyDescent="0.25">
      <c r="M390" s="36"/>
      <c r="Q390" s="36"/>
    </row>
    <row r="391" spans="13:17" x14ac:dyDescent="0.25">
      <c r="M391" s="36"/>
      <c r="Q391" s="36"/>
    </row>
    <row r="392" spans="13:17" x14ac:dyDescent="0.25">
      <c r="M392" s="36"/>
      <c r="Q392" s="36"/>
    </row>
    <row r="393" spans="13:17" x14ac:dyDescent="0.25">
      <c r="M393" s="36"/>
      <c r="Q393" s="36"/>
    </row>
    <row r="394" spans="13:17" x14ac:dyDescent="0.25">
      <c r="M394" s="36"/>
      <c r="Q394" s="36"/>
    </row>
    <row r="395" spans="13:17" x14ac:dyDescent="0.25">
      <c r="M395" s="36"/>
      <c r="Q395" s="36"/>
    </row>
    <row r="396" spans="13:17" x14ac:dyDescent="0.25">
      <c r="M396" s="36"/>
      <c r="Q396" s="36"/>
    </row>
    <row r="397" spans="13:17" x14ac:dyDescent="0.25">
      <c r="M397" s="36"/>
      <c r="Q397" s="36"/>
    </row>
    <row r="398" spans="13:17" x14ac:dyDescent="0.25">
      <c r="M398" s="36"/>
      <c r="Q398" s="36"/>
    </row>
    <row r="399" spans="13:17" x14ac:dyDescent="0.25">
      <c r="M399" s="36"/>
      <c r="Q399" s="36"/>
    </row>
    <row r="400" spans="13:17" x14ac:dyDescent="0.25">
      <c r="M400" s="36"/>
      <c r="Q400" s="36"/>
    </row>
    <row r="401" spans="13:17" x14ac:dyDescent="0.25">
      <c r="M401" s="36"/>
      <c r="Q401" s="36"/>
    </row>
    <row r="402" spans="13:17" x14ac:dyDescent="0.25">
      <c r="M402" s="36"/>
      <c r="Q402" s="36"/>
    </row>
    <row r="403" spans="13:17" x14ac:dyDescent="0.25">
      <c r="M403" s="36"/>
      <c r="Q403" s="36"/>
    </row>
    <row r="404" spans="13:17" x14ac:dyDescent="0.25">
      <c r="M404" s="36"/>
      <c r="Q404" s="36"/>
    </row>
    <row r="405" spans="13:17" x14ac:dyDescent="0.25">
      <c r="M405" s="36"/>
      <c r="Q405" s="36"/>
    </row>
    <row r="406" spans="13:17" x14ac:dyDescent="0.25">
      <c r="M406" s="36"/>
      <c r="Q406" s="36"/>
    </row>
    <row r="407" spans="13:17" x14ac:dyDescent="0.25">
      <c r="M407" s="36"/>
      <c r="Q407" s="36"/>
    </row>
    <row r="408" spans="13:17" x14ac:dyDescent="0.25">
      <c r="M408" s="36"/>
      <c r="Q408" s="36"/>
    </row>
    <row r="409" spans="13:17" x14ac:dyDescent="0.25">
      <c r="M409" s="36"/>
      <c r="Q409" s="36"/>
    </row>
    <row r="410" spans="13:17" x14ac:dyDescent="0.25">
      <c r="M410" s="36"/>
      <c r="Q410" s="36"/>
    </row>
    <row r="411" spans="13:17" x14ac:dyDescent="0.25">
      <c r="M411" s="36"/>
      <c r="Q411" s="36"/>
    </row>
    <row r="412" spans="13:17" x14ac:dyDescent="0.25">
      <c r="M412" s="36"/>
      <c r="Q412" s="36"/>
    </row>
    <row r="413" spans="13:17" x14ac:dyDescent="0.25">
      <c r="M413" s="36"/>
      <c r="Q413" s="36"/>
    </row>
    <row r="414" spans="13:17" x14ac:dyDescent="0.25">
      <c r="M414" s="36"/>
      <c r="Q414" s="36"/>
    </row>
    <row r="415" spans="13:17" x14ac:dyDescent="0.25">
      <c r="M415" s="36"/>
      <c r="Q415" s="36"/>
    </row>
    <row r="416" spans="13:17" x14ac:dyDescent="0.25">
      <c r="M416" s="36"/>
      <c r="Q416" s="36"/>
    </row>
    <row r="417" spans="13:17" x14ac:dyDescent="0.25">
      <c r="M417" s="36"/>
      <c r="Q417" s="36"/>
    </row>
    <row r="418" spans="13:17" x14ac:dyDescent="0.25">
      <c r="M418" s="36"/>
      <c r="Q418" s="36"/>
    </row>
    <row r="419" spans="13:17" x14ac:dyDescent="0.25">
      <c r="M419" s="36"/>
      <c r="Q419" s="36"/>
    </row>
    <row r="420" spans="13:17" x14ac:dyDescent="0.25">
      <c r="M420" s="36"/>
      <c r="Q420" s="36"/>
    </row>
    <row r="421" spans="13:17" x14ac:dyDescent="0.25">
      <c r="M421" s="36"/>
      <c r="Q421" s="36"/>
    </row>
    <row r="422" spans="13:17" x14ac:dyDescent="0.25">
      <c r="M422" s="36"/>
      <c r="Q422" s="36"/>
    </row>
    <row r="423" spans="13:17" x14ac:dyDescent="0.25">
      <c r="M423" s="36"/>
      <c r="Q423" s="36"/>
    </row>
    <row r="424" spans="13:17" x14ac:dyDescent="0.25">
      <c r="M424" s="36"/>
      <c r="Q424" s="36"/>
    </row>
    <row r="425" spans="13:17" x14ac:dyDescent="0.25">
      <c r="M425" s="36"/>
      <c r="Q425" s="36"/>
    </row>
    <row r="426" spans="13:17" x14ac:dyDescent="0.25">
      <c r="M426" s="36"/>
      <c r="Q426" s="36"/>
    </row>
    <row r="427" spans="13:17" x14ac:dyDescent="0.25">
      <c r="M427" s="36"/>
      <c r="Q427" s="36"/>
    </row>
    <row r="428" spans="13:17" x14ac:dyDescent="0.25">
      <c r="M428" s="36"/>
      <c r="Q428" s="36"/>
    </row>
    <row r="429" spans="13:17" x14ac:dyDescent="0.25">
      <c r="M429" s="36"/>
      <c r="Q429" s="36"/>
    </row>
    <row r="430" spans="13:17" x14ac:dyDescent="0.25">
      <c r="M430" s="36"/>
      <c r="Q430" s="36"/>
    </row>
    <row r="431" spans="13:17" x14ac:dyDescent="0.25">
      <c r="M431" s="36"/>
      <c r="Q431" s="36"/>
    </row>
    <row r="432" spans="13:17" x14ac:dyDescent="0.25">
      <c r="M432" s="36"/>
      <c r="Q432" s="36"/>
    </row>
    <row r="433" spans="13:17" x14ac:dyDescent="0.25">
      <c r="M433" s="36"/>
      <c r="Q433" s="36"/>
    </row>
    <row r="434" spans="13:17" x14ac:dyDescent="0.25">
      <c r="M434" s="36"/>
      <c r="Q434" s="36"/>
    </row>
    <row r="435" spans="13:17" x14ac:dyDescent="0.25">
      <c r="M435" s="36"/>
      <c r="Q435" s="36"/>
    </row>
    <row r="436" spans="13:17" x14ac:dyDescent="0.25">
      <c r="M436" s="36"/>
      <c r="Q436" s="36"/>
    </row>
    <row r="437" spans="13:17" x14ac:dyDescent="0.25">
      <c r="M437" s="36"/>
      <c r="Q437" s="36"/>
    </row>
    <row r="438" spans="13:17" x14ac:dyDescent="0.25">
      <c r="M438" s="36"/>
      <c r="Q438" s="36"/>
    </row>
    <row r="439" spans="13:17" x14ac:dyDescent="0.25">
      <c r="M439" s="36"/>
      <c r="Q439" s="36"/>
    </row>
    <row r="440" spans="13:17" x14ac:dyDescent="0.25">
      <c r="M440" s="36"/>
      <c r="Q440" s="36"/>
    </row>
    <row r="441" spans="13:17" x14ac:dyDescent="0.25">
      <c r="M441" s="36"/>
      <c r="Q441" s="36"/>
    </row>
    <row r="442" spans="13:17" x14ac:dyDescent="0.25">
      <c r="M442" s="36"/>
      <c r="Q442" s="36"/>
    </row>
    <row r="443" spans="13:17" x14ac:dyDescent="0.25">
      <c r="M443" s="36"/>
      <c r="Q443" s="36"/>
    </row>
    <row r="444" spans="13:17" x14ac:dyDescent="0.25">
      <c r="M444" s="36"/>
      <c r="Q444" s="36"/>
    </row>
    <row r="445" spans="13:17" x14ac:dyDescent="0.25">
      <c r="M445" s="36"/>
      <c r="Q445" s="36"/>
    </row>
    <row r="446" spans="13:17" x14ac:dyDescent="0.25">
      <c r="M446" s="36"/>
      <c r="Q446" s="36"/>
    </row>
    <row r="447" spans="13:17" x14ac:dyDescent="0.25">
      <c r="M447" s="36"/>
      <c r="Q447" s="36"/>
    </row>
    <row r="448" spans="13:17" x14ac:dyDescent="0.25">
      <c r="M448" s="36"/>
      <c r="Q448" s="36"/>
    </row>
    <row r="449" spans="13:17" x14ac:dyDescent="0.25">
      <c r="M449" s="36"/>
      <c r="Q449" s="36"/>
    </row>
    <row r="450" spans="13:17" x14ac:dyDescent="0.25">
      <c r="M450" s="36"/>
      <c r="Q450" s="36"/>
    </row>
    <row r="451" spans="13:17" x14ac:dyDescent="0.25">
      <c r="M451" s="36"/>
      <c r="Q451" s="36"/>
    </row>
    <row r="452" spans="13:17" x14ac:dyDescent="0.25">
      <c r="M452" s="36"/>
      <c r="Q452" s="36"/>
    </row>
    <row r="453" spans="13:17" x14ac:dyDescent="0.25">
      <c r="M453" s="36"/>
      <c r="Q453" s="36"/>
    </row>
    <row r="454" spans="13:17" x14ac:dyDescent="0.25">
      <c r="M454" s="36"/>
      <c r="Q454" s="36"/>
    </row>
    <row r="455" spans="13:17" x14ac:dyDescent="0.25">
      <c r="M455" s="36"/>
      <c r="Q455" s="36"/>
    </row>
    <row r="456" spans="13:17" x14ac:dyDescent="0.25">
      <c r="M456" s="36"/>
      <c r="Q456" s="36"/>
    </row>
    <row r="457" spans="13:17" x14ac:dyDescent="0.25">
      <c r="M457" s="36"/>
      <c r="Q457" s="36"/>
    </row>
    <row r="458" spans="13:17" x14ac:dyDescent="0.25">
      <c r="M458" s="36"/>
      <c r="Q458" s="36"/>
    </row>
    <row r="459" spans="13:17" x14ac:dyDescent="0.25">
      <c r="M459" s="36"/>
      <c r="Q459" s="36"/>
    </row>
    <row r="460" spans="13:17" x14ac:dyDescent="0.25">
      <c r="M460" s="36"/>
      <c r="Q460" s="36"/>
    </row>
    <row r="461" spans="13:17" x14ac:dyDescent="0.25">
      <c r="M461" s="36"/>
      <c r="Q461" s="36"/>
    </row>
    <row r="462" spans="13:17" x14ac:dyDescent="0.25">
      <c r="M462" s="36"/>
      <c r="Q462" s="36"/>
    </row>
    <row r="463" spans="13:17" x14ac:dyDescent="0.25">
      <c r="M463" s="36"/>
      <c r="Q463" s="36"/>
    </row>
    <row r="464" spans="13:17" x14ac:dyDescent="0.25">
      <c r="M464" s="36"/>
      <c r="Q464" s="36"/>
    </row>
    <row r="465" spans="13:17" x14ac:dyDescent="0.25">
      <c r="M465" s="36"/>
      <c r="Q465" s="36"/>
    </row>
    <row r="466" spans="13:17" x14ac:dyDescent="0.25">
      <c r="M466" s="36"/>
      <c r="Q466" s="36"/>
    </row>
    <row r="467" spans="13:17" x14ac:dyDescent="0.25">
      <c r="M467" s="36"/>
      <c r="Q467" s="36"/>
    </row>
    <row r="468" spans="13:17" x14ac:dyDescent="0.25">
      <c r="M468" s="36"/>
      <c r="Q468" s="36"/>
    </row>
    <row r="469" spans="13:17" x14ac:dyDescent="0.25">
      <c r="M469" s="36"/>
      <c r="Q469" s="36"/>
    </row>
    <row r="470" spans="13:17" x14ac:dyDescent="0.25">
      <c r="M470" s="36"/>
      <c r="Q470" s="36"/>
    </row>
    <row r="471" spans="13:17" x14ac:dyDescent="0.25">
      <c r="M471" s="36"/>
      <c r="Q471" s="36"/>
    </row>
    <row r="472" spans="13:17" x14ac:dyDescent="0.25">
      <c r="M472" s="36"/>
      <c r="Q472" s="36"/>
    </row>
    <row r="473" spans="13:17" x14ac:dyDescent="0.25">
      <c r="M473" s="36"/>
      <c r="Q473" s="36"/>
    </row>
    <row r="474" spans="13:17" x14ac:dyDescent="0.25">
      <c r="M474" s="36"/>
      <c r="Q474" s="36"/>
    </row>
    <row r="475" spans="13:17" x14ac:dyDescent="0.25">
      <c r="M475" s="36"/>
      <c r="Q475" s="36"/>
    </row>
    <row r="476" spans="13:17" x14ac:dyDescent="0.25">
      <c r="M476" s="36"/>
      <c r="Q476" s="36"/>
    </row>
    <row r="477" spans="13:17" x14ac:dyDescent="0.25">
      <c r="M477" s="36"/>
      <c r="Q477" s="36"/>
    </row>
    <row r="478" spans="13:17" x14ac:dyDescent="0.25">
      <c r="M478" s="36"/>
      <c r="Q478" s="36"/>
    </row>
    <row r="479" spans="13:17" x14ac:dyDescent="0.25">
      <c r="M479" s="36"/>
      <c r="Q479" s="36"/>
    </row>
    <row r="480" spans="13:17" x14ac:dyDescent="0.25">
      <c r="M480" s="36"/>
      <c r="Q480" s="36"/>
    </row>
    <row r="481" spans="13:17" x14ac:dyDescent="0.25">
      <c r="M481" s="36"/>
      <c r="Q481" s="36"/>
    </row>
    <row r="482" spans="13:17" x14ac:dyDescent="0.25">
      <c r="M482" s="36"/>
      <c r="Q482" s="36"/>
    </row>
    <row r="483" spans="13:17" x14ac:dyDescent="0.25">
      <c r="M483" s="36"/>
      <c r="Q483" s="36"/>
    </row>
    <row r="484" spans="13:17" x14ac:dyDescent="0.25">
      <c r="M484" s="36"/>
      <c r="Q484" s="36"/>
    </row>
    <row r="485" spans="13:17" x14ac:dyDescent="0.25">
      <c r="M485" s="36"/>
      <c r="Q485" s="36"/>
    </row>
    <row r="486" spans="13:17" x14ac:dyDescent="0.25">
      <c r="M486" s="36"/>
      <c r="Q486" s="36"/>
    </row>
    <row r="487" spans="13:17" x14ac:dyDescent="0.25">
      <c r="M487" s="36"/>
      <c r="Q487" s="36"/>
    </row>
    <row r="488" spans="13:17" x14ac:dyDescent="0.25">
      <c r="M488" s="36"/>
      <c r="Q488" s="36"/>
    </row>
    <row r="489" spans="13:17" x14ac:dyDescent="0.25">
      <c r="M489" s="36"/>
      <c r="Q489" s="36"/>
    </row>
    <row r="490" spans="13:17" x14ac:dyDescent="0.25">
      <c r="M490" s="36"/>
      <c r="Q490" s="36"/>
    </row>
    <row r="491" spans="13:17" x14ac:dyDescent="0.25">
      <c r="M491" s="36"/>
      <c r="Q491" s="36"/>
    </row>
    <row r="492" spans="13:17" x14ac:dyDescent="0.25">
      <c r="M492" s="36"/>
      <c r="Q492" s="36"/>
    </row>
    <row r="493" spans="13:17" x14ac:dyDescent="0.25">
      <c r="M493" s="36"/>
      <c r="Q493" s="36"/>
    </row>
    <row r="494" spans="13:17" x14ac:dyDescent="0.25">
      <c r="M494" s="36"/>
      <c r="Q494" s="36"/>
    </row>
    <row r="495" spans="13:17" x14ac:dyDescent="0.25">
      <c r="M495" s="36"/>
      <c r="Q495" s="36"/>
    </row>
    <row r="496" spans="13:17" x14ac:dyDescent="0.25">
      <c r="M496" s="36"/>
      <c r="Q496" s="36"/>
    </row>
    <row r="497" spans="13:17" x14ac:dyDescent="0.25">
      <c r="M497" s="36"/>
      <c r="Q497" s="36"/>
    </row>
    <row r="498" spans="13:17" x14ac:dyDescent="0.25">
      <c r="M498" s="36"/>
      <c r="Q498" s="36"/>
    </row>
    <row r="499" spans="13:17" x14ac:dyDescent="0.25">
      <c r="M499" s="36"/>
      <c r="Q499" s="36"/>
    </row>
    <row r="500" spans="13:17" x14ac:dyDescent="0.25">
      <c r="M500" s="36"/>
      <c r="Q500" s="36"/>
    </row>
    <row r="501" spans="13:17" x14ac:dyDescent="0.25">
      <c r="M501" s="36"/>
      <c r="Q501" s="36"/>
    </row>
    <row r="502" spans="13:17" x14ac:dyDescent="0.25">
      <c r="M502" s="36"/>
      <c r="Q502" s="36"/>
    </row>
    <row r="503" spans="13:17" x14ac:dyDescent="0.25">
      <c r="M503" s="36"/>
      <c r="Q503" s="36"/>
    </row>
    <row r="504" spans="13:17" x14ac:dyDescent="0.25">
      <c r="M504" s="36"/>
      <c r="Q504" s="36"/>
    </row>
    <row r="505" spans="13:17" x14ac:dyDescent="0.25">
      <c r="M505" s="36"/>
      <c r="Q505" s="36"/>
    </row>
    <row r="506" spans="13:17" x14ac:dyDescent="0.25">
      <c r="M506" s="36"/>
      <c r="Q506" s="36"/>
    </row>
    <row r="507" spans="13:17" x14ac:dyDescent="0.25">
      <c r="M507" s="36"/>
      <c r="Q507" s="36"/>
    </row>
    <row r="508" spans="13:17" x14ac:dyDescent="0.25">
      <c r="M508" s="36"/>
      <c r="Q508" s="36"/>
    </row>
    <row r="509" spans="13:17" x14ac:dyDescent="0.25">
      <c r="M509" s="36"/>
      <c r="Q509" s="36"/>
    </row>
    <row r="510" spans="13:17" x14ac:dyDescent="0.25">
      <c r="M510" s="36"/>
      <c r="Q510" s="36"/>
    </row>
    <row r="511" spans="13:17" x14ac:dyDescent="0.25">
      <c r="M511" s="36"/>
      <c r="Q511" s="36"/>
    </row>
    <row r="512" spans="13:17" x14ac:dyDescent="0.25">
      <c r="M512" s="36"/>
      <c r="Q512" s="36"/>
    </row>
    <row r="513" spans="13:17" x14ac:dyDescent="0.25">
      <c r="M513" s="36"/>
      <c r="Q513" s="36"/>
    </row>
    <row r="514" spans="13:17" x14ac:dyDescent="0.25">
      <c r="M514" s="36"/>
      <c r="Q514" s="36"/>
    </row>
    <row r="515" spans="13:17" x14ac:dyDescent="0.25">
      <c r="M515" s="36"/>
      <c r="Q515" s="36"/>
    </row>
    <row r="516" spans="13:17" x14ac:dyDescent="0.25">
      <c r="M516" s="36"/>
      <c r="Q516" s="36"/>
    </row>
    <row r="517" spans="13:17" x14ac:dyDescent="0.25">
      <c r="M517" s="36"/>
      <c r="Q517" s="36"/>
    </row>
    <row r="518" spans="13:17" x14ac:dyDescent="0.25">
      <c r="M518" s="36"/>
      <c r="Q518" s="36"/>
    </row>
    <row r="519" spans="13:17" x14ac:dyDescent="0.25">
      <c r="M519" s="36"/>
      <c r="Q519" s="36"/>
    </row>
    <row r="520" spans="13:17" x14ac:dyDescent="0.25">
      <c r="M520" s="36"/>
      <c r="Q520" s="36"/>
    </row>
    <row r="521" spans="13:17" x14ac:dyDescent="0.25">
      <c r="M521" s="36"/>
      <c r="Q521" s="36"/>
    </row>
    <row r="522" spans="13:17" x14ac:dyDescent="0.25">
      <c r="M522" s="36"/>
      <c r="Q522" s="36"/>
    </row>
    <row r="523" spans="13:17" x14ac:dyDescent="0.25">
      <c r="M523" s="36"/>
      <c r="Q523" s="36"/>
    </row>
    <row r="524" spans="13:17" x14ac:dyDescent="0.25">
      <c r="M524" s="36"/>
      <c r="Q524" s="36"/>
    </row>
    <row r="525" spans="13:17" x14ac:dyDescent="0.25">
      <c r="M525" s="36"/>
      <c r="Q525" s="36"/>
    </row>
    <row r="526" spans="13:17" x14ac:dyDescent="0.25">
      <c r="M526" s="36"/>
      <c r="Q526" s="36"/>
    </row>
    <row r="527" spans="13:17" x14ac:dyDescent="0.25">
      <c r="M527" s="36"/>
      <c r="Q527" s="36"/>
    </row>
    <row r="528" spans="13:17" x14ac:dyDescent="0.25">
      <c r="M528" s="36"/>
      <c r="Q528" s="36"/>
    </row>
    <row r="529" spans="13:17" x14ac:dyDescent="0.25">
      <c r="M529" s="36"/>
      <c r="Q529" s="36"/>
    </row>
    <row r="530" spans="13:17" x14ac:dyDescent="0.25">
      <c r="M530" s="36"/>
      <c r="Q530" s="36"/>
    </row>
    <row r="531" spans="13:17" x14ac:dyDescent="0.25">
      <c r="M531" s="36"/>
      <c r="Q531" s="36"/>
    </row>
    <row r="532" spans="13:17" x14ac:dyDescent="0.25">
      <c r="M532" s="36"/>
      <c r="Q532" s="36"/>
    </row>
    <row r="533" spans="13:17" x14ac:dyDescent="0.25">
      <c r="M533" s="36"/>
      <c r="Q533" s="36"/>
    </row>
    <row r="534" spans="13:17" x14ac:dyDescent="0.25">
      <c r="M534" s="36"/>
      <c r="Q534" s="36"/>
    </row>
    <row r="535" spans="13:17" x14ac:dyDescent="0.25">
      <c r="M535" s="36"/>
      <c r="Q535" s="36"/>
    </row>
    <row r="536" spans="13:17" x14ac:dyDescent="0.25">
      <c r="M536" s="36"/>
      <c r="Q536" s="36"/>
    </row>
    <row r="537" spans="13:17" x14ac:dyDescent="0.25">
      <c r="M537" s="36"/>
      <c r="Q537" s="36"/>
    </row>
    <row r="538" spans="13:17" x14ac:dyDescent="0.25">
      <c r="M538" s="36"/>
      <c r="Q538" s="36"/>
    </row>
    <row r="539" spans="13:17" x14ac:dyDescent="0.25">
      <c r="M539" s="36"/>
      <c r="Q539" s="36"/>
    </row>
    <row r="540" spans="13:17" x14ac:dyDescent="0.25">
      <c r="M540" s="36"/>
      <c r="Q540" s="36"/>
    </row>
    <row r="541" spans="13:17" x14ac:dyDescent="0.25">
      <c r="M541" s="36"/>
      <c r="Q541" s="36"/>
    </row>
    <row r="542" spans="13:17" x14ac:dyDescent="0.25">
      <c r="M542" s="36"/>
      <c r="Q542" s="36"/>
    </row>
    <row r="543" spans="13:17" x14ac:dyDescent="0.25">
      <c r="M543" s="36"/>
      <c r="Q543" s="36"/>
    </row>
    <row r="544" spans="13:17" x14ac:dyDescent="0.25">
      <c r="M544" s="36"/>
      <c r="Q544" s="36"/>
    </row>
    <row r="545" spans="13:17" x14ac:dyDescent="0.25">
      <c r="M545" s="36"/>
      <c r="Q545" s="36"/>
    </row>
    <row r="546" spans="13:17" x14ac:dyDescent="0.25">
      <c r="M546" s="36"/>
      <c r="Q546" s="36"/>
    </row>
    <row r="547" spans="13:17" x14ac:dyDescent="0.25">
      <c r="M547" s="36"/>
      <c r="Q547" s="36"/>
    </row>
    <row r="548" spans="13:17" x14ac:dyDescent="0.25">
      <c r="M548" s="36"/>
      <c r="Q548" s="36"/>
    </row>
    <row r="549" spans="13:17" x14ac:dyDescent="0.25">
      <c r="M549" s="36"/>
      <c r="Q549" s="36"/>
    </row>
    <row r="550" spans="13:17" x14ac:dyDescent="0.25">
      <c r="M550" s="36"/>
      <c r="Q550" s="36"/>
    </row>
    <row r="551" spans="13:17" x14ac:dyDescent="0.25">
      <c r="M551" s="36"/>
      <c r="Q551" s="36"/>
    </row>
    <row r="552" spans="13:17" x14ac:dyDescent="0.25">
      <c r="M552" s="36"/>
      <c r="Q552" s="36"/>
    </row>
    <row r="553" spans="13:17" x14ac:dyDescent="0.25">
      <c r="M553" s="36"/>
      <c r="Q553" s="36"/>
    </row>
    <row r="554" spans="13:17" x14ac:dyDescent="0.25">
      <c r="M554" s="36"/>
      <c r="Q554" s="36"/>
    </row>
    <row r="555" spans="13:17" x14ac:dyDescent="0.25">
      <c r="M555" s="36"/>
      <c r="Q555" s="36"/>
    </row>
    <row r="556" spans="13:17" x14ac:dyDescent="0.25">
      <c r="M556" s="36"/>
      <c r="Q556" s="36"/>
    </row>
    <row r="557" spans="13:17" x14ac:dyDescent="0.25">
      <c r="M557" s="36"/>
      <c r="Q557" s="36"/>
    </row>
    <row r="558" spans="13:17" x14ac:dyDescent="0.25">
      <c r="M558" s="36"/>
      <c r="Q558" s="36"/>
    </row>
    <row r="559" spans="13:17" x14ac:dyDescent="0.25">
      <c r="M559" s="36"/>
      <c r="Q559" s="36"/>
    </row>
    <row r="560" spans="13:17" x14ac:dyDescent="0.25">
      <c r="M560" s="36"/>
      <c r="Q560" s="36"/>
    </row>
    <row r="561" spans="13:17" x14ac:dyDescent="0.25">
      <c r="M561" s="36"/>
      <c r="Q561" s="36"/>
    </row>
    <row r="562" spans="13:17" x14ac:dyDescent="0.25">
      <c r="M562" s="36"/>
      <c r="Q562" s="36"/>
    </row>
    <row r="563" spans="13:17" x14ac:dyDescent="0.25">
      <c r="M563" s="36"/>
      <c r="Q563" s="36"/>
    </row>
    <row r="564" spans="13:17" x14ac:dyDescent="0.25">
      <c r="M564" s="36"/>
      <c r="Q564" s="36"/>
    </row>
    <row r="565" spans="13:17" x14ac:dyDescent="0.25">
      <c r="M565" s="36"/>
      <c r="Q565" s="36"/>
    </row>
    <row r="566" spans="13:17" x14ac:dyDescent="0.25">
      <c r="M566" s="36"/>
      <c r="Q566" s="36"/>
    </row>
    <row r="567" spans="13:17" x14ac:dyDescent="0.25">
      <c r="M567" s="36"/>
      <c r="Q567" s="36"/>
    </row>
    <row r="568" spans="13:17" x14ac:dyDescent="0.25">
      <c r="M568" s="36"/>
      <c r="Q568" s="36"/>
    </row>
    <row r="569" spans="13:17" x14ac:dyDescent="0.25">
      <c r="M569" s="36"/>
      <c r="Q569" s="36"/>
    </row>
    <row r="570" spans="13:17" x14ac:dyDescent="0.25">
      <c r="M570" s="36"/>
      <c r="Q570" s="36"/>
    </row>
    <row r="571" spans="13:17" x14ac:dyDescent="0.25">
      <c r="M571" s="36"/>
      <c r="Q571" s="36"/>
    </row>
    <row r="572" spans="13:17" x14ac:dyDescent="0.25">
      <c r="M572" s="36"/>
      <c r="Q572" s="36"/>
    </row>
    <row r="573" spans="13:17" x14ac:dyDescent="0.25">
      <c r="M573" s="36"/>
      <c r="Q573" s="36"/>
    </row>
    <row r="574" spans="13:17" x14ac:dyDescent="0.25">
      <c r="M574" s="36"/>
      <c r="Q574" s="36"/>
    </row>
    <row r="575" spans="13:17" x14ac:dyDescent="0.25">
      <c r="M575" s="36"/>
      <c r="Q575" s="36"/>
    </row>
    <row r="576" spans="13:17" x14ac:dyDescent="0.25">
      <c r="M576" s="36"/>
      <c r="Q576" s="36"/>
    </row>
    <row r="577" spans="13:17" x14ac:dyDescent="0.25">
      <c r="M577" s="36"/>
      <c r="Q577" s="36"/>
    </row>
    <row r="578" spans="13:17" x14ac:dyDescent="0.25">
      <c r="M578" s="36"/>
      <c r="Q578" s="36"/>
    </row>
    <row r="579" spans="13:17" x14ac:dyDescent="0.25">
      <c r="M579" s="36"/>
      <c r="Q579" s="36"/>
    </row>
    <row r="580" spans="13:17" x14ac:dyDescent="0.25">
      <c r="M580" s="36"/>
      <c r="Q580" s="36"/>
    </row>
    <row r="581" spans="13:17" x14ac:dyDescent="0.25">
      <c r="M581" s="36"/>
      <c r="Q581" s="36"/>
    </row>
    <row r="582" spans="13:17" x14ac:dyDescent="0.25">
      <c r="M582" s="36"/>
      <c r="Q582" s="36"/>
    </row>
    <row r="583" spans="13:17" x14ac:dyDescent="0.25">
      <c r="M583" s="36"/>
      <c r="Q583" s="36"/>
    </row>
    <row r="584" spans="13:17" x14ac:dyDescent="0.25">
      <c r="M584" s="36"/>
      <c r="Q584" s="36"/>
    </row>
    <row r="585" spans="13:17" x14ac:dyDescent="0.25">
      <c r="M585" s="36"/>
      <c r="Q585" s="36"/>
    </row>
    <row r="586" spans="13:17" x14ac:dyDescent="0.25">
      <c r="M586" s="36"/>
      <c r="Q586" s="36"/>
    </row>
    <row r="587" spans="13:17" x14ac:dyDescent="0.25">
      <c r="M587" s="36"/>
      <c r="Q587" s="36"/>
    </row>
    <row r="588" spans="13:17" x14ac:dyDescent="0.25">
      <c r="M588" s="36"/>
      <c r="Q588" s="36"/>
    </row>
    <row r="589" spans="13:17" x14ac:dyDescent="0.25">
      <c r="M589" s="36"/>
      <c r="Q589" s="36"/>
    </row>
    <row r="590" spans="13:17" x14ac:dyDescent="0.25">
      <c r="M590" s="36"/>
      <c r="Q590" s="36"/>
    </row>
    <row r="591" spans="13:17" x14ac:dyDescent="0.25">
      <c r="M591" s="36"/>
      <c r="Q591" s="36"/>
    </row>
    <row r="592" spans="13:17" x14ac:dyDescent="0.25">
      <c r="M592" s="36"/>
      <c r="Q592" s="36"/>
    </row>
    <row r="593" spans="13:17" x14ac:dyDescent="0.25">
      <c r="M593" s="36"/>
      <c r="Q593" s="36"/>
    </row>
    <row r="594" spans="13:17" x14ac:dyDescent="0.25">
      <c r="M594" s="36"/>
      <c r="Q594" s="36"/>
    </row>
    <row r="595" spans="13:17" x14ac:dyDescent="0.25">
      <c r="M595" s="36"/>
      <c r="Q595" s="36"/>
    </row>
    <row r="596" spans="13:17" x14ac:dyDescent="0.25">
      <c r="M596" s="36"/>
      <c r="Q596" s="36"/>
    </row>
    <row r="597" spans="13:17" x14ac:dyDescent="0.25">
      <c r="M597" s="36"/>
      <c r="Q597" s="36"/>
    </row>
    <row r="598" spans="13:17" x14ac:dyDescent="0.25">
      <c r="M598" s="36"/>
      <c r="Q598" s="36"/>
    </row>
    <row r="599" spans="13:17" x14ac:dyDescent="0.25">
      <c r="M599" s="36"/>
      <c r="Q599" s="36"/>
    </row>
    <row r="600" spans="13:17" x14ac:dyDescent="0.25">
      <c r="M600" s="36"/>
      <c r="Q600" s="36"/>
    </row>
    <row r="601" spans="13:17" x14ac:dyDescent="0.25">
      <c r="M601" s="36"/>
      <c r="Q601" s="36"/>
    </row>
    <row r="602" spans="13:17" x14ac:dyDescent="0.25">
      <c r="M602" s="36"/>
      <c r="Q602" s="36"/>
    </row>
    <row r="603" spans="13:17" x14ac:dyDescent="0.25">
      <c r="M603" s="36"/>
      <c r="Q603" s="36"/>
    </row>
    <row r="604" spans="13:17" x14ac:dyDescent="0.25">
      <c r="M604" s="36"/>
      <c r="Q604" s="36"/>
    </row>
    <row r="605" spans="13:17" x14ac:dyDescent="0.25">
      <c r="M605" s="36"/>
      <c r="Q605" s="36"/>
    </row>
    <row r="606" spans="13:17" x14ac:dyDescent="0.25">
      <c r="M606" s="36"/>
      <c r="Q606" s="36"/>
    </row>
    <row r="607" spans="13:17" x14ac:dyDescent="0.25">
      <c r="M607" s="36"/>
      <c r="Q607" s="36"/>
    </row>
    <row r="608" spans="13:17" x14ac:dyDescent="0.25">
      <c r="M608" s="36"/>
      <c r="Q608" s="36"/>
    </row>
    <row r="609" spans="13:17" x14ac:dyDescent="0.25">
      <c r="M609" s="36"/>
      <c r="Q609" s="36"/>
    </row>
    <row r="610" spans="13:17" x14ac:dyDescent="0.25">
      <c r="M610" s="36"/>
      <c r="Q610" s="36"/>
    </row>
    <row r="611" spans="13:17" x14ac:dyDescent="0.25">
      <c r="M611" s="36"/>
      <c r="Q611" s="36"/>
    </row>
    <row r="612" spans="13:17" x14ac:dyDescent="0.25">
      <c r="M612" s="36"/>
      <c r="Q612" s="36"/>
    </row>
    <row r="613" spans="13:17" x14ac:dyDescent="0.25">
      <c r="M613" s="36"/>
      <c r="Q613" s="36"/>
    </row>
    <row r="614" spans="13:17" x14ac:dyDescent="0.25">
      <c r="M614" s="36"/>
      <c r="Q614" s="36"/>
    </row>
    <row r="615" spans="13:17" x14ac:dyDescent="0.25">
      <c r="M615" s="36"/>
      <c r="Q615" s="36"/>
    </row>
    <row r="616" spans="13:17" x14ac:dyDescent="0.25">
      <c r="M616" s="36"/>
      <c r="Q616" s="36"/>
    </row>
    <row r="617" spans="13:17" x14ac:dyDescent="0.25">
      <c r="M617" s="36"/>
      <c r="Q617" s="36"/>
    </row>
    <row r="618" spans="13:17" x14ac:dyDescent="0.25">
      <c r="M618" s="36"/>
      <c r="Q618" s="36"/>
    </row>
    <row r="619" spans="13:17" x14ac:dyDescent="0.25">
      <c r="M619" s="36"/>
      <c r="Q619" s="36"/>
    </row>
    <row r="620" spans="13:17" x14ac:dyDescent="0.25">
      <c r="M620" s="36"/>
      <c r="Q620" s="36"/>
    </row>
    <row r="621" spans="13:17" x14ac:dyDescent="0.25">
      <c r="M621" s="36"/>
      <c r="Q621" s="36"/>
    </row>
    <row r="622" spans="13:17" x14ac:dyDescent="0.25">
      <c r="M622" s="36"/>
      <c r="Q622" s="36"/>
    </row>
    <row r="623" spans="13:17" x14ac:dyDescent="0.25">
      <c r="M623" s="36"/>
      <c r="Q623" s="36"/>
    </row>
    <row r="624" spans="13:17" x14ac:dyDescent="0.25">
      <c r="M624" s="36"/>
      <c r="Q624" s="36"/>
    </row>
    <row r="625" spans="13:17" x14ac:dyDescent="0.25">
      <c r="M625" s="36"/>
      <c r="Q625" s="36"/>
    </row>
    <row r="626" spans="13:17" x14ac:dyDescent="0.25">
      <c r="M626" s="36"/>
      <c r="Q626" s="36"/>
    </row>
    <row r="627" spans="13:17" x14ac:dyDescent="0.25">
      <c r="M627" s="36"/>
      <c r="Q627" s="36"/>
    </row>
    <row r="628" spans="13:17" x14ac:dyDescent="0.25">
      <c r="M628" s="36"/>
      <c r="Q628" s="36"/>
    </row>
    <row r="629" spans="13:17" x14ac:dyDescent="0.25">
      <c r="M629" s="36"/>
      <c r="Q629" s="36"/>
    </row>
    <row r="630" spans="13:17" x14ac:dyDescent="0.25">
      <c r="M630" s="36"/>
      <c r="Q630" s="36"/>
    </row>
    <row r="631" spans="13:17" x14ac:dyDescent="0.25">
      <c r="M631" s="36"/>
      <c r="Q631" s="36"/>
    </row>
    <row r="632" spans="13:17" x14ac:dyDescent="0.25">
      <c r="M632" s="36"/>
      <c r="Q632" s="36"/>
    </row>
    <row r="633" spans="13:17" x14ac:dyDescent="0.25">
      <c r="M633" s="36"/>
      <c r="Q633" s="36"/>
    </row>
    <row r="634" spans="13:17" x14ac:dyDescent="0.25">
      <c r="M634" s="36"/>
      <c r="Q634" s="36"/>
    </row>
    <row r="635" spans="13:17" x14ac:dyDescent="0.25">
      <c r="M635" s="36"/>
      <c r="Q635" s="36"/>
    </row>
    <row r="636" spans="13:17" x14ac:dyDescent="0.25">
      <c r="M636" s="36"/>
      <c r="Q636" s="36"/>
    </row>
    <row r="637" spans="13:17" x14ac:dyDescent="0.25">
      <c r="M637" s="36"/>
      <c r="Q637" s="36"/>
    </row>
    <row r="638" spans="13:17" x14ac:dyDescent="0.25">
      <c r="M638" s="36"/>
      <c r="Q638" s="36"/>
    </row>
    <row r="639" spans="13:17" x14ac:dyDescent="0.25">
      <c r="M639" s="36"/>
      <c r="Q639" s="36"/>
    </row>
    <row r="640" spans="13:17" x14ac:dyDescent="0.25">
      <c r="M640" s="36"/>
      <c r="Q640" s="36"/>
    </row>
    <row r="641" spans="13:17" x14ac:dyDescent="0.25">
      <c r="M641" s="36"/>
      <c r="Q641" s="36"/>
    </row>
    <row r="642" spans="13:17" x14ac:dyDescent="0.25">
      <c r="M642" s="36"/>
      <c r="Q642" s="36"/>
    </row>
    <row r="643" spans="13:17" x14ac:dyDescent="0.25">
      <c r="M643" s="36"/>
      <c r="Q643" s="36"/>
    </row>
    <row r="644" spans="13:17" x14ac:dyDescent="0.25">
      <c r="M644" s="36"/>
      <c r="Q644" s="36"/>
    </row>
    <row r="645" spans="13:17" x14ac:dyDescent="0.25">
      <c r="M645" s="36"/>
      <c r="Q645" s="36"/>
    </row>
    <row r="646" spans="13:17" x14ac:dyDescent="0.25">
      <c r="M646" s="36"/>
      <c r="Q646" s="36"/>
    </row>
    <row r="647" spans="13:17" x14ac:dyDescent="0.25">
      <c r="M647" s="36"/>
      <c r="Q647" s="36"/>
    </row>
    <row r="648" spans="13:17" x14ac:dyDescent="0.25">
      <c r="M648" s="36"/>
      <c r="Q648" s="36"/>
    </row>
    <row r="649" spans="13:17" x14ac:dyDescent="0.25">
      <c r="M649" s="36"/>
      <c r="Q649" s="36"/>
    </row>
    <row r="650" spans="13:17" x14ac:dyDescent="0.25">
      <c r="M650" s="36"/>
      <c r="Q650" s="36"/>
    </row>
    <row r="651" spans="13:17" x14ac:dyDescent="0.25">
      <c r="M651" s="36"/>
      <c r="Q651" s="36"/>
    </row>
    <row r="652" spans="13:17" x14ac:dyDescent="0.25">
      <c r="M652" s="36"/>
      <c r="Q652" s="36"/>
    </row>
    <row r="653" spans="13:17" x14ac:dyDescent="0.25">
      <c r="M653" s="36"/>
      <c r="Q653" s="36"/>
    </row>
    <row r="654" spans="13:17" x14ac:dyDescent="0.25">
      <c r="M654" s="36"/>
      <c r="Q654" s="36"/>
    </row>
    <row r="655" spans="13:17" x14ac:dyDescent="0.25">
      <c r="M655" s="36"/>
      <c r="Q655" s="36"/>
    </row>
    <row r="656" spans="13:17" x14ac:dyDescent="0.25">
      <c r="M656" s="36"/>
      <c r="Q656" s="36"/>
    </row>
    <row r="657" spans="13:17" x14ac:dyDescent="0.25">
      <c r="M657" s="36"/>
      <c r="Q657" s="36"/>
    </row>
    <row r="658" spans="13:17" x14ac:dyDescent="0.25">
      <c r="M658" s="36"/>
      <c r="Q658" s="36"/>
    </row>
    <row r="659" spans="13:17" x14ac:dyDescent="0.25">
      <c r="M659" s="36"/>
      <c r="Q659" s="36"/>
    </row>
    <row r="660" spans="13:17" x14ac:dyDescent="0.25">
      <c r="M660" s="36"/>
      <c r="Q660" s="36"/>
    </row>
    <row r="661" spans="13:17" x14ac:dyDescent="0.25">
      <c r="M661" s="36"/>
      <c r="Q661" s="36"/>
    </row>
    <row r="662" spans="13:17" x14ac:dyDescent="0.25">
      <c r="M662" s="36"/>
      <c r="Q662" s="36"/>
    </row>
    <row r="663" spans="13:17" x14ac:dyDescent="0.25">
      <c r="M663" s="36"/>
      <c r="Q663" s="36"/>
    </row>
    <row r="664" spans="13:17" x14ac:dyDescent="0.25">
      <c r="M664" s="36"/>
      <c r="Q664" s="36"/>
    </row>
    <row r="665" spans="13:17" x14ac:dyDescent="0.25">
      <c r="M665" s="36"/>
      <c r="Q665" s="36"/>
    </row>
    <row r="666" spans="13:17" x14ac:dyDescent="0.25">
      <c r="M666" s="36"/>
      <c r="Q666" s="36"/>
    </row>
    <row r="667" spans="13:17" x14ac:dyDescent="0.25">
      <c r="M667" s="36"/>
      <c r="Q667" s="36"/>
    </row>
    <row r="668" spans="13:17" x14ac:dyDescent="0.25">
      <c r="M668" s="36"/>
      <c r="Q668" s="36"/>
    </row>
    <row r="669" spans="13:17" x14ac:dyDescent="0.25">
      <c r="M669" s="36"/>
      <c r="Q669" s="36"/>
    </row>
    <row r="670" spans="13:17" x14ac:dyDescent="0.25">
      <c r="M670" s="36"/>
      <c r="Q670" s="36"/>
    </row>
    <row r="671" spans="13:17" x14ac:dyDescent="0.25">
      <c r="M671" s="36"/>
      <c r="Q671" s="36"/>
    </row>
    <row r="672" spans="13:17" x14ac:dyDescent="0.25">
      <c r="M672" s="36"/>
      <c r="Q672" s="36"/>
    </row>
    <row r="673" spans="13:17" x14ac:dyDescent="0.25">
      <c r="M673" s="36"/>
      <c r="Q673" s="36"/>
    </row>
    <row r="674" spans="13:17" x14ac:dyDescent="0.25">
      <c r="M674" s="36"/>
      <c r="Q674" s="36"/>
    </row>
    <row r="675" spans="13:17" x14ac:dyDescent="0.25">
      <c r="M675" s="36"/>
      <c r="Q675" s="36"/>
    </row>
    <row r="676" spans="13:17" x14ac:dyDescent="0.25">
      <c r="M676" s="36"/>
      <c r="Q676" s="36"/>
    </row>
    <row r="677" spans="13:17" x14ac:dyDescent="0.25">
      <c r="M677" s="36"/>
      <c r="Q677" s="36"/>
    </row>
    <row r="678" spans="13:17" x14ac:dyDescent="0.25">
      <c r="M678" s="36"/>
      <c r="Q678" s="36"/>
    </row>
    <row r="679" spans="13:17" x14ac:dyDescent="0.25">
      <c r="M679" s="36"/>
      <c r="Q679" s="36"/>
    </row>
    <row r="680" spans="13:17" x14ac:dyDescent="0.25">
      <c r="M680" s="36"/>
      <c r="Q680" s="36"/>
    </row>
    <row r="681" spans="13:17" x14ac:dyDescent="0.25">
      <c r="M681" s="36"/>
      <c r="Q681" s="36"/>
    </row>
    <row r="682" spans="13:17" x14ac:dyDescent="0.25">
      <c r="M682" s="36"/>
      <c r="Q682" s="36"/>
    </row>
    <row r="683" spans="13:17" x14ac:dyDescent="0.25">
      <c r="M683" s="36"/>
      <c r="Q683" s="36"/>
    </row>
    <row r="684" spans="13:17" x14ac:dyDescent="0.25">
      <c r="M684" s="36"/>
      <c r="Q684" s="36"/>
    </row>
    <row r="685" spans="13:17" x14ac:dyDescent="0.25">
      <c r="M685" s="36"/>
      <c r="Q685" s="36"/>
    </row>
    <row r="686" spans="13:17" x14ac:dyDescent="0.25">
      <c r="M686" s="36"/>
      <c r="Q686" s="36"/>
    </row>
    <row r="687" spans="13:17" x14ac:dyDescent="0.25">
      <c r="M687" s="36"/>
      <c r="Q687" s="36"/>
    </row>
    <row r="688" spans="13:17" x14ac:dyDescent="0.25">
      <c r="M688" s="36"/>
      <c r="Q688" s="36"/>
    </row>
    <row r="689" spans="13:17" x14ac:dyDescent="0.25">
      <c r="M689" s="36"/>
      <c r="Q689" s="36"/>
    </row>
    <row r="690" spans="13:17" x14ac:dyDescent="0.25">
      <c r="M690" s="36"/>
      <c r="Q690" s="36"/>
    </row>
    <row r="691" spans="13:17" x14ac:dyDescent="0.25">
      <c r="M691" s="36"/>
      <c r="Q691" s="36"/>
    </row>
    <row r="692" spans="13:17" x14ac:dyDescent="0.25">
      <c r="M692" s="36"/>
      <c r="Q692" s="36"/>
    </row>
    <row r="693" spans="13:17" x14ac:dyDescent="0.25">
      <c r="M693" s="36"/>
      <c r="Q693" s="36"/>
    </row>
    <row r="694" spans="13:17" x14ac:dyDescent="0.25">
      <c r="M694" s="36"/>
      <c r="Q694" s="36"/>
    </row>
    <row r="695" spans="13:17" x14ac:dyDescent="0.25">
      <c r="M695" s="36"/>
      <c r="Q695" s="36"/>
    </row>
    <row r="696" spans="13:17" x14ac:dyDescent="0.25">
      <c r="M696" s="36"/>
      <c r="Q696" s="36"/>
    </row>
    <row r="697" spans="13:17" x14ac:dyDescent="0.25">
      <c r="M697" s="36"/>
      <c r="Q697" s="36"/>
    </row>
    <row r="698" spans="13:17" x14ac:dyDescent="0.25">
      <c r="M698" s="36"/>
      <c r="Q698" s="36"/>
    </row>
    <row r="699" spans="13:17" x14ac:dyDescent="0.25">
      <c r="M699" s="36"/>
      <c r="Q699" s="36"/>
    </row>
    <row r="700" spans="13:17" x14ac:dyDescent="0.25">
      <c r="M700" s="36"/>
      <c r="Q700" s="36"/>
    </row>
    <row r="701" spans="13:17" x14ac:dyDescent="0.25">
      <c r="M701" s="36"/>
      <c r="Q701" s="36"/>
    </row>
    <row r="702" spans="13:17" x14ac:dyDescent="0.25">
      <c r="M702" s="36"/>
      <c r="Q702" s="36"/>
    </row>
    <row r="703" spans="13:17" x14ac:dyDescent="0.25">
      <c r="M703" s="36"/>
      <c r="Q703" s="36"/>
    </row>
    <row r="704" spans="13:17" x14ac:dyDescent="0.25">
      <c r="M704" s="36"/>
      <c r="Q704" s="36"/>
    </row>
    <row r="705" spans="13:17" x14ac:dyDescent="0.25">
      <c r="M705" s="36"/>
      <c r="Q705" s="36"/>
    </row>
    <row r="706" spans="13:17" x14ac:dyDescent="0.25">
      <c r="M706" s="36"/>
      <c r="Q706" s="36"/>
    </row>
    <row r="707" spans="13:17" x14ac:dyDescent="0.25">
      <c r="M707" s="36"/>
      <c r="Q707" s="36"/>
    </row>
    <row r="708" spans="13:17" x14ac:dyDescent="0.25">
      <c r="M708" s="36"/>
      <c r="Q708" s="36"/>
    </row>
    <row r="709" spans="13:17" x14ac:dyDescent="0.25">
      <c r="M709" s="36"/>
      <c r="Q709" s="36"/>
    </row>
    <row r="710" spans="13:17" x14ac:dyDescent="0.25">
      <c r="M710" s="36"/>
      <c r="Q710" s="36"/>
    </row>
    <row r="711" spans="13:17" x14ac:dyDescent="0.25">
      <c r="M711" s="36"/>
      <c r="Q711" s="36"/>
    </row>
    <row r="712" spans="13:17" x14ac:dyDescent="0.25">
      <c r="M712" s="36"/>
      <c r="Q712" s="36"/>
    </row>
    <row r="713" spans="13:17" x14ac:dyDescent="0.25">
      <c r="M713" s="36"/>
      <c r="Q713" s="36"/>
    </row>
    <row r="714" spans="13:17" x14ac:dyDescent="0.25">
      <c r="M714" s="36"/>
      <c r="Q714" s="36"/>
    </row>
    <row r="715" spans="13:17" x14ac:dyDescent="0.25">
      <c r="M715" s="36"/>
      <c r="Q715" s="36"/>
    </row>
    <row r="716" spans="13:17" x14ac:dyDescent="0.25">
      <c r="M716" s="36"/>
      <c r="Q716" s="36"/>
    </row>
    <row r="717" spans="13:17" x14ac:dyDescent="0.25">
      <c r="M717" s="36"/>
      <c r="Q717" s="36"/>
    </row>
    <row r="718" spans="13:17" x14ac:dyDescent="0.25">
      <c r="M718" s="36"/>
      <c r="Q718" s="36"/>
    </row>
    <row r="719" spans="13:17" x14ac:dyDescent="0.25">
      <c r="M719" s="36"/>
      <c r="Q719" s="36"/>
    </row>
    <row r="720" spans="13:17" x14ac:dyDescent="0.25">
      <c r="M720" s="36"/>
      <c r="Q720" s="36"/>
    </row>
    <row r="721" spans="13:17" x14ac:dyDescent="0.25">
      <c r="M721" s="36"/>
      <c r="Q721" s="36"/>
    </row>
    <row r="722" spans="13:17" x14ac:dyDescent="0.25">
      <c r="M722" s="36"/>
      <c r="Q722" s="36"/>
    </row>
    <row r="723" spans="13:17" x14ac:dyDescent="0.25">
      <c r="M723" s="36"/>
      <c r="Q723" s="36"/>
    </row>
    <row r="724" spans="13:17" x14ac:dyDescent="0.25">
      <c r="M724" s="36"/>
      <c r="Q724" s="36"/>
    </row>
    <row r="725" spans="13:17" x14ac:dyDescent="0.25">
      <c r="M725" s="36"/>
      <c r="Q725" s="36"/>
    </row>
    <row r="726" spans="13:17" x14ac:dyDescent="0.25">
      <c r="M726" s="36"/>
      <c r="Q726" s="36"/>
    </row>
    <row r="727" spans="13:17" x14ac:dyDescent="0.25">
      <c r="M727" s="36"/>
      <c r="Q727" s="36"/>
    </row>
    <row r="728" spans="13:17" x14ac:dyDescent="0.25">
      <c r="M728" s="36"/>
      <c r="Q728" s="36"/>
    </row>
    <row r="729" spans="13:17" x14ac:dyDescent="0.25">
      <c r="M729" s="36"/>
      <c r="Q729" s="36"/>
    </row>
    <row r="730" spans="13:17" x14ac:dyDescent="0.25">
      <c r="M730" s="36"/>
      <c r="Q730" s="36"/>
    </row>
    <row r="731" spans="13:17" x14ac:dyDescent="0.25">
      <c r="M731" s="36"/>
      <c r="Q731" s="36"/>
    </row>
    <row r="732" spans="13:17" x14ac:dyDescent="0.25">
      <c r="M732" s="36"/>
      <c r="Q732" s="36"/>
    </row>
    <row r="733" spans="13:17" x14ac:dyDescent="0.25">
      <c r="M733" s="36"/>
      <c r="Q733" s="36"/>
    </row>
    <row r="734" spans="13:17" x14ac:dyDescent="0.25">
      <c r="M734" s="36"/>
      <c r="Q734" s="36"/>
    </row>
    <row r="735" spans="13:17" x14ac:dyDescent="0.25">
      <c r="M735" s="36"/>
      <c r="Q735" s="36"/>
    </row>
    <row r="736" spans="13:17" x14ac:dyDescent="0.25">
      <c r="M736" s="36"/>
      <c r="Q736" s="36"/>
    </row>
    <row r="737" spans="13:17" x14ac:dyDescent="0.25">
      <c r="M737" s="36"/>
      <c r="Q737" s="36"/>
    </row>
    <row r="738" spans="13:17" x14ac:dyDescent="0.25">
      <c r="M738" s="36"/>
      <c r="Q738" s="36"/>
    </row>
    <row r="739" spans="13:17" x14ac:dyDescent="0.25">
      <c r="M739" s="36"/>
      <c r="Q739" s="36"/>
    </row>
    <row r="740" spans="13:17" x14ac:dyDescent="0.25">
      <c r="M740" s="36"/>
      <c r="Q740" s="36"/>
    </row>
    <row r="741" spans="13:17" x14ac:dyDescent="0.25">
      <c r="M741" s="36"/>
      <c r="Q741" s="36"/>
    </row>
    <row r="742" spans="13:17" x14ac:dyDescent="0.25">
      <c r="M742" s="36"/>
      <c r="Q742" s="36"/>
    </row>
    <row r="743" spans="13:17" x14ac:dyDescent="0.25">
      <c r="M743" s="36"/>
      <c r="Q743" s="36"/>
    </row>
    <row r="744" spans="13:17" x14ac:dyDescent="0.25">
      <c r="M744" s="36"/>
      <c r="Q744" s="36"/>
    </row>
    <row r="745" spans="13:17" x14ac:dyDescent="0.25">
      <c r="M745" s="36"/>
      <c r="Q745" s="36"/>
    </row>
    <row r="746" spans="13:17" x14ac:dyDescent="0.25">
      <c r="M746" s="36"/>
      <c r="Q746" s="36"/>
    </row>
    <row r="747" spans="13:17" x14ac:dyDescent="0.25">
      <c r="M747" s="36"/>
      <c r="Q747" s="36"/>
    </row>
    <row r="748" spans="13:17" x14ac:dyDescent="0.25">
      <c r="M748" s="36"/>
      <c r="Q748" s="36"/>
    </row>
    <row r="749" spans="13:17" x14ac:dyDescent="0.25">
      <c r="M749" s="36"/>
      <c r="Q749" s="36"/>
    </row>
    <row r="750" spans="13:17" x14ac:dyDescent="0.25">
      <c r="M750" s="36"/>
      <c r="Q750" s="36"/>
    </row>
    <row r="751" spans="13:17" x14ac:dyDescent="0.25">
      <c r="M751" s="36"/>
      <c r="Q751" s="36"/>
    </row>
    <row r="752" spans="13:17" x14ac:dyDescent="0.25">
      <c r="M752" s="36"/>
      <c r="Q752" s="36"/>
    </row>
    <row r="753" spans="13:17" x14ac:dyDescent="0.25">
      <c r="M753" s="36"/>
      <c r="Q753" s="36"/>
    </row>
    <row r="754" spans="13:17" x14ac:dyDescent="0.25">
      <c r="M754" s="36"/>
      <c r="Q754" s="36"/>
    </row>
    <row r="755" spans="13:17" x14ac:dyDescent="0.25">
      <c r="M755" s="36"/>
      <c r="Q755" s="36"/>
    </row>
    <row r="756" spans="13:17" x14ac:dyDescent="0.25">
      <c r="M756" s="36"/>
      <c r="Q756" s="36"/>
    </row>
    <row r="757" spans="13:17" x14ac:dyDescent="0.25">
      <c r="M757" s="36"/>
      <c r="Q757" s="36"/>
    </row>
    <row r="758" spans="13:17" x14ac:dyDescent="0.25">
      <c r="M758" s="36"/>
      <c r="Q758" s="36"/>
    </row>
    <row r="759" spans="13:17" x14ac:dyDescent="0.25">
      <c r="M759" s="36"/>
      <c r="Q759" s="36"/>
    </row>
    <row r="760" spans="13:17" x14ac:dyDescent="0.25">
      <c r="M760" s="36"/>
      <c r="Q760" s="36"/>
    </row>
    <row r="761" spans="13:17" x14ac:dyDescent="0.25">
      <c r="M761" s="36"/>
      <c r="Q761" s="36"/>
    </row>
    <row r="762" spans="13:17" x14ac:dyDescent="0.25">
      <c r="M762" s="36"/>
      <c r="Q762" s="36"/>
    </row>
    <row r="763" spans="13:17" x14ac:dyDescent="0.25">
      <c r="M763" s="36"/>
      <c r="Q763" s="36"/>
    </row>
    <row r="764" spans="13:17" x14ac:dyDescent="0.25">
      <c r="M764" s="36"/>
      <c r="Q764" s="36"/>
    </row>
    <row r="765" spans="13:17" x14ac:dyDescent="0.25">
      <c r="M765" s="36"/>
      <c r="Q765" s="36"/>
    </row>
    <row r="766" spans="13:17" x14ac:dyDescent="0.25">
      <c r="M766" s="36"/>
      <c r="Q766" s="36"/>
    </row>
    <row r="767" spans="13:17" x14ac:dyDescent="0.25">
      <c r="M767" s="36"/>
      <c r="Q767" s="36"/>
    </row>
    <row r="768" spans="13:17" x14ac:dyDescent="0.25">
      <c r="M768" s="36"/>
      <c r="Q768" s="36"/>
    </row>
    <row r="769" spans="13:17" x14ac:dyDescent="0.25">
      <c r="M769" s="36"/>
      <c r="Q769" s="36"/>
    </row>
    <row r="770" spans="13:17" x14ac:dyDescent="0.25">
      <c r="M770" s="36"/>
      <c r="Q770" s="36"/>
    </row>
    <row r="771" spans="13:17" x14ac:dyDescent="0.25">
      <c r="M771" s="36"/>
      <c r="Q771" s="36"/>
    </row>
    <row r="772" spans="13:17" x14ac:dyDescent="0.25">
      <c r="M772" s="36"/>
      <c r="Q772" s="36"/>
    </row>
    <row r="773" spans="13:17" x14ac:dyDescent="0.25">
      <c r="M773" s="36"/>
      <c r="Q773" s="36"/>
    </row>
    <row r="774" spans="13:17" x14ac:dyDescent="0.25">
      <c r="M774" s="36"/>
      <c r="Q774" s="36"/>
    </row>
    <row r="775" spans="13:17" x14ac:dyDescent="0.25">
      <c r="M775" s="36"/>
      <c r="Q775" s="36"/>
    </row>
    <row r="776" spans="13:17" x14ac:dyDescent="0.25">
      <c r="M776" s="36"/>
      <c r="Q776" s="36"/>
    </row>
    <row r="777" spans="13:17" x14ac:dyDescent="0.25">
      <c r="M777" s="36"/>
      <c r="Q777" s="36"/>
    </row>
    <row r="778" spans="13:17" x14ac:dyDescent="0.25">
      <c r="M778" s="36"/>
      <c r="Q778" s="36"/>
    </row>
    <row r="779" spans="13:17" x14ac:dyDescent="0.25">
      <c r="M779" s="36"/>
      <c r="Q779" s="36"/>
    </row>
    <row r="780" spans="13:17" x14ac:dyDescent="0.25">
      <c r="M780" s="36"/>
      <c r="Q780" s="36"/>
    </row>
    <row r="781" spans="13:17" x14ac:dyDescent="0.25">
      <c r="M781" s="36"/>
      <c r="Q781" s="36"/>
    </row>
    <row r="782" spans="13:17" x14ac:dyDescent="0.25">
      <c r="M782" s="36"/>
      <c r="Q782" s="36"/>
    </row>
    <row r="783" spans="13:17" x14ac:dyDescent="0.25">
      <c r="M783" s="36"/>
      <c r="Q783" s="36"/>
    </row>
    <row r="784" spans="13:17" x14ac:dyDescent="0.25">
      <c r="M784" s="36"/>
      <c r="Q784" s="36"/>
    </row>
    <row r="785" spans="13:17" x14ac:dyDescent="0.25">
      <c r="M785" s="36"/>
      <c r="Q785" s="36"/>
    </row>
    <row r="786" spans="13:17" x14ac:dyDescent="0.25">
      <c r="M786" s="36"/>
      <c r="Q786" s="36"/>
    </row>
    <row r="787" spans="13:17" x14ac:dyDescent="0.25">
      <c r="M787" s="36"/>
      <c r="Q787" s="36"/>
    </row>
    <row r="788" spans="13:17" x14ac:dyDescent="0.25">
      <c r="M788" s="36"/>
      <c r="Q788" s="36"/>
    </row>
    <row r="789" spans="13:17" x14ac:dyDescent="0.25">
      <c r="M789" s="36"/>
      <c r="Q789" s="36"/>
    </row>
    <row r="790" spans="13:17" x14ac:dyDescent="0.25">
      <c r="M790" s="36"/>
      <c r="Q790" s="36"/>
    </row>
    <row r="791" spans="13:17" x14ac:dyDescent="0.25">
      <c r="M791" s="36"/>
      <c r="Q791" s="36"/>
    </row>
    <row r="792" spans="13:17" x14ac:dyDescent="0.25">
      <c r="M792" s="36"/>
      <c r="Q792" s="36"/>
    </row>
    <row r="793" spans="13:17" x14ac:dyDescent="0.25">
      <c r="M793" s="36"/>
      <c r="Q793" s="36"/>
    </row>
    <row r="794" spans="13:17" x14ac:dyDescent="0.25">
      <c r="M794" s="36"/>
      <c r="Q794" s="36"/>
    </row>
    <row r="795" spans="13:17" x14ac:dyDescent="0.25">
      <c r="M795" s="36"/>
      <c r="Q795" s="36"/>
    </row>
    <row r="796" spans="13:17" x14ac:dyDescent="0.25">
      <c r="M796" s="36"/>
      <c r="Q796" s="36"/>
    </row>
    <row r="797" spans="13:17" x14ac:dyDescent="0.25">
      <c r="M797" s="36"/>
      <c r="Q797" s="36"/>
    </row>
    <row r="798" spans="13:17" x14ac:dyDescent="0.25">
      <c r="M798" s="36"/>
      <c r="Q798" s="36"/>
    </row>
    <row r="799" spans="13:17" x14ac:dyDescent="0.25">
      <c r="M799" s="36"/>
      <c r="Q799" s="36"/>
    </row>
    <row r="800" spans="13:17" x14ac:dyDescent="0.25">
      <c r="M800" s="36"/>
      <c r="Q800" s="36"/>
    </row>
    <row r="801" spans="13:17" x14ac:dyDescent="0.25">
      <c r="M801" s="36"/>
      <c r="Q801" s="36"/>
    </row>
    <row r="802" spans="13:17" x14ac:dyDescent="0.25">
      <c r="M802" s="36"/>
      <c r="Q802" s="36"/>
    </row>
    <row r="803" spans="13:17" x14ac:dyDescent="0.25">
      <c r="M803" s="36"/>
      <c r="Q803" s="36"/>
    </row>
    <row r="804" spans="13:17" x14ac:dyDescent="0.25">
      <c r="M804" s="36"/>
      <c r="Q804" s="36"/>
    </row>
    <row r="805" spans="13:17" x14ac:dyDescent="0.25">
      <c r="M805" s="36"/>
      <c r="Q805" s="36"/>
    </row>
    <row r="806" spans="13:17" x14ac:dyDescent="0.25">
      <c r="M806" s="36"/>
      <c r="Q806" s="36"/>
    </row>
    <row r="807" spans="13:17" x14ac:dyDescent="0.25">
      <c r="M807" s="36"/>
      <c r="Q807" s="36"/>
    </row>
    <row r="808" spans="13:17" x14ac:dyDescent="0.25">
      <c r="M808" s="36"/>
      <c r="Q808" s="36"/>
    </row>
    <row r="809" spans="13:17" x14ac:dyDescent="0.25">
      <c r="M809" s="36"/>
      <c r="Q809" s="36"/>
    </row>
    <row r="810" spans="13:17" x14ac:dyDescent="0.25">
      <c r="M810" s="36"/>
      <c r="Q810" s="36"/>
    </row>
    <row r="811" spans="13:17" x14ac:dyDescent="0.25">
      <c r="M811" s="36"/>
      <c r="Q811" s="36"/>
    </row>
    <row r="812" spans="13:17" x14ac:dyDescent="0.25">
      <c r="M812" s="36"/>
      <c r="Q812" s="36"/>
    </row>
    <row r="813" spans="13:17" x14ac:dyDescent="0.25">
      <c r="M813" s="36"/>
      <c r="Q813" s="36"/>
    </row>
    <row r="814" spans="13:17" x14ac:dyDescent="0.25">
      <c r="M814" s="36"/>
      <c r="Q814" s="36"/>
    </row>
    <row r="815" spans="13:17" x14ac:dyDescent="0.25">
      <c r="M815" s="36"/>
      <c r="Q815" s="36"/>
    </row>
    <row r="816" spans="13:17" x14ac:dyDescent="0.25">
      <c r="M816" s="36"/>
      <c r="Q816" s="36"/>
    </row>
    <row r="817" spans="13:17" x14ac:dyDescent="0.25">
      <c r="M817" s="36"/>
      <c r="Q817" s="36"/>
    </row>
    <row r="818" spans="13:17" x14ac:dyDescent="0.25">
      <c r="M818" s="36"/>
      <c r="Q818" s="36"/>
    </row>
    <row r="819" spans="13:17" x14ac:dyDescent="0.25">
      <c r="M819" s="36"/>
      <c r="Q819" s="36"/>
    </row>
    <row r="820" spans="13:17" x14ac:dyDescent="0.25">
      <c r="M820" s="36"/>
      <c r="Q820" s="36"/>
    </row>
    <row r="821" spans="13:17" x14ac:dyDescent="0.25">
      <c r="M821" s="36"/>
      <c r="Q821" s="36"/>
    </row>
    <row r="822" spans="13:17" x14ac:dyDescent="0.25">
      <c r="M822" s="36"/>
      <c r="Q822" s="36"/>
    </row>
    <row r="823" spans="13:17" x14ac:dyDescent="0.25">
      <c r="M823" s="36"/>
      <c r="Q823" s="36"/>
    </row>
    <row r="824" spans="13:17" x14ac:dyDescent="0.25">
      <c r="M824" s="36"/>
      <c r="Q824" s="36"/>
    </row>
    <row r="825" spans="13:17" x14ac:dyDescent="0.25">
      <c r="M825" s="36"/>
      <c r="Q825" s="36"/>
    </row>
    <row r="826" spans="13:17" x14ac:dyDescent="0.25">
      <c r="M826" s="36"/>
      <c r="Q826" s="36"/>
    </row>
    <row r="827" spans="13:17" x14ac:dyDescent="0.25">
      <c r="M827" s="36"/>
      <c r="Q827" s="36"/>
    </row>
    <row r="828" spans="13:17" x14ac:dyDescent="0.25">
      <c r="M828" s="36"/>
      <c r="Q828" s="36"/>
    </row>
    <row r="829" spans="13:17" x14ac:dyDescent="0.25">
      <c r="M829" s="36"/>
      <c r="Q829" s="36"/>
    </row>
    <row r="830" spans="13:17" x14ac:dyDescent="0.25">
      <c r="M830" s="36"/>
      <c r="Q830" s="36"/>
    </row>
    <row r="831" spans="13:17" x14ac:dyDescent="0.25">
      <c r="M831" s="36"/>
      <c r="Q831" s="36"/>
    </row>
    <row r="832" spans="13:17" x14ac:dyDescent="0.25">
      <c r="M832" s="36"/>
      <c r="Q832" s="36"/>
    </row>
    <row r="833" spans="13:17" x14ac:dyDescent="0.25">
      <c r="M833" s="36"/>
      <c r="Q833" s="36"/>
    </row>
    <row r="834" spans="13:17" x14ac:dyDescent="0.25">
      <c r="M834" s="36"/>
      <c r="Q834" s="36"/>
    </row>
    <row r="835" spans="13:17" x14ac:dyDescent="0.25">
      <c r="M835" s="36"/>
      <c r="Q835" s="36"/>
    </row>
    <row r="836" spans="13:17" x14ac:dyDescent="0.25">
      <c r="M836" s="36"/>
      <c r="Q836" s="36"/>
    </row>
    <row r="837" spans="13:17" x14ac:dyDescent="0.25">
      <c r="M837" s="36"/>
      <c r="Q837" s="36"/>
    </row>
    <row r="838" spans="13:17" x14ac:dyDescent="0.25">
      <c r="M838" s="36"/>
      <c r="Q838" s="36"/>
    </row>
    <row r="839" spans="13:17" x14ac:dyDescent="0.25">
      <c r="M839" s="36"/>
      <c r="Q839" s="36"/>
    </row>
    <row r="840" spans="13:17" x14ac:dyDescent="0.25">
      <c r="M840" s="36"/>
      <c r="Q840" s="36"/>
    </row>
    <row r="841" spans="13:17" x14ac:dyDescent="0.25">
      <c r="M841" s="36"/>
      <c r="Q841" s="36"/>
    </row>
    <row r="842" spans="13:17" x14ac:dyDescent="0.25">
      <c r="M842" s="36"/>
      <c r="Q842" s="36"/>
    </row>
    <row r="843" spans="13:17" x14ac:dyDescent="0.25">
      <c r="M843" s="36"/>
      <c r="Q843" s="36"/>
    </row>
    <row r="844" spans="13:17" x14ac:dyDescent="0.25">
      <c r="M844" s="36"/>
      <c r="Q844" s="36"/>
    </row>
    <row r="845" spans="13:17" x14ac:dyDescent="0.25">
      <c r="M845" s="36"/>
      <c r="Q845" s="36"/>
    </row>
    <row r="846" spans="13:17" x14ac:dyDescent="0.25">
      <c r="M846" s="36"/>
      <c r="Q846" s="36"/>
    </row>
    <row r="847" spans="13:17" x14ac:dyDescent="0.25">
      <c r="M847" s="36"/>
      <c r="Q847" s="36"/>
    </row>
    <row r="848" spans="13:17" x14ac:dyDescent="0.25">
      <c r="M848" s="36"/>
      <c r="Q848" s="36"/>
    </row>
    <row r="849" spans="13:17" x14ac:dyDescent="0.25">
      <c r="M849" s="36"/>
      <c r="Q849" s="36"/>
    </row>
    <row r="850" spans="13:17" x14ac:dyDescent="0.25">
      <c r="M850" s="36"/>
      <c r="Q850" s="36"/>
    </row>
    <row r="851" spans="13:17" x14ac:dyDescent="0.25">
      <c r="M851" s="36"/>
      <c r="Q851" s="36"/>
    </row>
    <row r="852" spans="13:17" x14ac:dyDescent="0.25">
      <c r="M852" s="36"/>
      <c r="Q852" s="36"/>
    </row>
    <row r="853" spans="13:17" x14ac:dyDescent="0.25">
      <c r="M853" s="36"/>
      <c r="Q853" s="36"/>
    </row>
    <row r="854" spans="13:17" x14ac:dyDescent="0.25">
      <c r="M854" s="36"/>
      <c r="Q854" s="36"/>
    </row>
    <row r="855" spans="13:17" x14ac:dyDescent="0.25">
      <c r="M855" s="36"/>
      <c r="Q855" s="36"/>
    </row>
    <row r="856" spans="13:17" x14ac:dyDescent="0.25">
      <c r="M856" s="36"/>
      <c r="Q856" s="36"/>
    </row>
    <row r="857" spans="13:17" x14ac:dyDescent="0.25">
      <c r="M857" s="36"/>
      <c r="Q857" s="36"/>
    </row>
    <row r="858" spans="13:17" x14ac:dyDescent="0.25">
      <c r="M858" s="36"/>
      <c r="Q858" s="36"/>
    </row>
    <row r="859" spans="13:17" x14ac:dyDescent="0.25">
      <c r="M859" s="36"/>
      <c r="Q859" s="36"/>
    </row>
    <row r="860" spans="13:17" x14ac:dyDescent="0.25">
      <c r="M860" s="36"/>
      <c r="Q860" s="36"/>
    </row>
    <row r="861" spans="13:17" x14ac:dyDescent="0.25">
      <c r="M861" s="36"/>
      <c r="Q861" s="36"/>
    </row>
    <row r="862" spans="13:17" x14ac:dyDescent="0.25">
      <c r="M862" s="36"/>
      <c r="Q862" s="36"/>
    </row>
    <row r="863" spans="13:17" x14ac:dyDescent="0.25">
      <c r="M863" s="36"/>
      <c r="Q863" s="36"/>
    </row>
    <row r="864" spans="13:17" x14ac:dyDescent="0.25">
      <c r="M864" s="36"/>
      <c r="Q864" s="36"/>
    </row>
    <row r="865" spans="13:17" x14ac:dyDescent="0.25">
      <c r="M865" s="36"/>
      <c r="Q865" s="36"/>
    </row>
    <row r="866" spans="13:17" x14ac:dyDescent="0.25">
      <c r="M866" s="36"/>
      <c r="Q866" s="36"/>
    </row>
    <row r="867" spans="13:17" x14ac:dyDescent="0.25">
      <c r="M867" s="36"/>
      <c r="Q867" s="36"/>
    </row>
    <row r="868" spans="13:17" x14ac:dyDescent="0.25">
      <c r="M868" s="36"/>
      <c r="Q868" s="36"/>
    </row>
    <row r="869" spans="13:17" x14ac:dyDescent="0.25">
      <c r="M869" s="36"/>
      <c r="Q869" s="36"/>
    </row>
    <row r="870" spans="13:17" x14ac:dyDescent="0.25">
      <c r="M870" s="36"/>
      <c r="Q870" s="36"/>
    </row>
    <row r="871" spans="13:17" x14ac:dyDescent="0.25">
      <c r="M871" s="36"/>
      <c r="Q871" s="36"/>
    </row>
    <row r="872" spans="13:17" x14ac:dyDescent="0.25">
      <c r="M872" s="36"/>
      <c r="Q872" s="36"/>
    </row>
    <row r="873" spans="13:17" x14ac:dyDescent="0.25">
      <c r="M873" s="36"/>
      <c r="Q873" s="36"/>
    </row>
    <row r="874" spans="13:17" x14ac:dyDescent="0.25">
      <c r="M874" s="36"/>
      <c r="Q874" s="36"/>
    </row>
    <row r="875" spans="13:17" x14ac:dyDescent="0.25">
      <c r="M875" s="36"/>
      <c r="Q875" s="36"/>
    </row>
    <row r="876" spans="13:17" x14ac:dyDescent="0.25">
      <c r="M876" s="36"/>
      <c r="Q876" s="36"/>
    </row>
    <row r="877" spans="13:17" x14ac:dyDescent="0.25">
      <c r="M877" s="36"/>
      <c r="Q877" s="36"/>
    </row>
    <row r="878" spans="13:17" x14ac:dyDescent="0.25">
      <c r="M878" s="36"/>
      <c r="Q878" s="36"/>
    </row>
    <row r="879" spans="13:17" x14ac:dyDescent="0.25">
      <c r="M879" s="36"/>
      <c r="Q879" s="36"/>
    </row>
    <row r="880" spans="13:17" x14ac:dyDescent="0.25">
      <c r="M880" s="36"/>
      <c r="Q880" s="36"/>
    </row>
    <row r="881" spans="13:17" x14ac:dyDescent="0.25">
      <c r="M881" s="36"/>
      <c r="Q881" s="36"/>
    </row>
    <row r="882" spans="13:17" x14ac:dyDescent="0.25">
      <c r="M882" s="36"/>
      <c r="Q882" s="36"/>
    </row>
    <row r="883" spans="13:17" x14ac:dyDescent="0.25">
      <c r="M883" s="36"/>
      <c r="Q883" s="36"/>
    </row>
    <row r="884" spans="13:17" x14ac:dyDescent="0.25">
      <c r="M884" s="36"/>
      <c r="Q884" s="36"/>
    </row>
    <row r="885" spans="13:17" x14ac:dyDescent="0.25">
      <c r="M885" s="36"/>
      <c r="Q885" s="36"/>
    </row>
    <row r="886" spans="13:17" x14ac:dyDescent="0.25">
      <c r="M886" s="36"/>
      <c r="Q886" s="36"/>
    </row>
    <row r="887" spans="13:17" x14ac:dyDescent="0.25">
      <c r="M887" s="36"/>
      <c r="Q887" s="36"/>
    </row>
    <row r="888" spans="13:17" x14ac:dyDescent="0.25">
      <c r="M888" s="36"/>
      <c r="Q888" s="36"/>
    </row>
    <row r="889" spans="13:17" x14ac:dyDescent="0.25">
      <c r="M889" s="36"/>
      <c r="Q889" s="36"/>
    </row>
    <row r="890" spans="13:17" x14ac:dyDescent="0.25">
      <c r="M890" s="36"/>
      <c r="Q890" s="36"/>
    </row>
    <row r="891" spans="13:17" x14ac:dyDescent="0.25">
      <c r="M891" s="36"/>
      <c r="Q891" s="36"/>
    </row>
    <row r="892" spans="13:17" x14ac:dyDescent="0.25">
      <c r="M892" s="36"/>
      <c r="Q892" s="36"/>
    </row>
    <row r="893" spans="13:17" x14ac:dyDescent="0.25">
      <c r="M893" s="36"/>
      <c r="Q893" s="36"/>
    </row>
    <row r="894" spans="13:17" x14ac:dyDescent="0.25">
      <c r="M894" s="36"/>
      <c r="Q894" s="36"/>
    </row>
    <row r="895" spans="13:17" x14ac:dyDescent="0.25">
      <c r="M895" s="36"/>
      <c r="Q895" s="36"/>
    </row>
    <row r="896" spans="13:17" x14ac:dyDescent="0.25">
      <c r="M896" s="36"/>
      <c r="Q896" s="36"/>
    </row>
    <row r="897" spans="13:17" x14ac:dyDescent="0.25">
      <c r="M897" s="36"/>
      <c r="Q897" s="36"/>
    </row>
    <row r="898" spans="13:17" x14ac:dyDescent="0.25">
      <c r="M898" s="36"/>
      <c r="Q898" s="36"/>
    </row>
    <row r="899" spans="13:17" x14ac:dyDescent="0.25">
      <c r="M899" s="36"/>
      <c r="Q899" s="36"/>
    </row>
    <row r="900" spans="13:17" x14ac:dyDescent="0.25">
      <c r="M900" s="36"/>
      <c r="Q900" s="36"/>
    </row>
    <row r="901" spans="13:17" x14ac:dyDescent="0.25">
      <c r="M901" s="36"/>
      <c r="Q901" s="36"/>
    </row>
    <row r="902" spans="13:17" x14ac:dyDescent="0.25">
      <c r="M902" s="36"/>
      <c r="Q902" s="36"/>
    </row>
    <row r="903" spans="13:17" x14ac:dyDescent="0.25">
      <c r="M903" s="36"/>
      <c r="Q903" s="36"/>
    </row>
    <row r="904" spans="13:17" x14ac:dyDescent="0.25">
      <c r="M904" s="36"/>
      <c r="Q904" s="36"/>
    </row>
    <row r="905" spans="13:17" x14ac:dyDescent="0.25">
      <c r="M905" s="36"/>
      <c r="Q905" s="36"/>
    </row>
    <row r="906" spans="13:17" x14ac:dyDescent="0.25">
      <c r="M906" s="36"/>
      <c r="Q906" s="36"/>
    </row>
    <row r="907" spans="13:17" x14ac:dyDescent="0.25">
      <c r="M907" s="36"/>
      <c r="Q907" s="36"/>
    </row>
    <row r="908" spans="13:17" x14ac:dyDescent="0.25">
      <c r="M908" s="36"/>
      <c r="Q908" s="36"/>
    </row>
    <row r="909" spans="13:17" x14ac:dyDescent="0.25">
      <c r="M909" s="36"/>
      <c r="Q909" s="36"/>
    </row>
    <row r="910" spans="13:17" x14ac:dyDescent="0.25">
      <c r="M910" s="36"/>
      <c r="Q910" s="36"/>
    </row>
    <row r="911" spans="13:17" x14ac:dyDescent="0.25">
      <c r="M911" s="36"/>
      <c r="Q911" s="36"/>
    </row>
    <row r="912" spans="13:17" x14ac:dyDescent="0.25">
      <c r="M912" s="36"/>
      <c r="Q912" s="36"/>
    </row>
    <row r="913" spans="13:17" x14ac:dyDescent="0.25">
      <c r="M913" s="36"/>
      <c r="Q913" s="36"/>
    </row>
    <row r="914" spans="13:17" x14ac:dyDescent="0.25">
      <c r="M914" s="36"/>
      <c r="Q914" s="36"/>
    </row>
    <row r="915" spans="13:17" x14ac:dyDescent="0.25">
      <c r="M915" s="36"/>
      <c r="Q915" s="36"/>
    </row>
    <row r="916" spans="13:17" x14ac:dyDescent="0.25">
      <c r="M916" s="36"/>
      <c r="Q916" s="36"/>
    </row>
    <row r="917" spans="13:17" x14ac:dyDescent="0.25">
      <c r="M917" s="36"/>
      <c r="Q917" s="36"/>
    </row>
    <row r="918" spans="13:17" x14ac:dyDescent="0.25">
      <c r="M918" s="36"/>
      <c r="Q918" s="36"/>
    </row>
    <row r="919" spans="13:17" x14ac:dyDescent="0.25">
      <c r="M919" s="36"/>
      <c r="Q919" s="36"/>
    </row>
    <row r="920" spans="13:17" x14ac:dyDescent="0.25">
      <c r="M920" s="36"/>
      <c r="Q920" s="36"/>
    </row>
    <row r="921" spans="13:17" x14ac:dyDescent="0.25">
      <c r="M921" s="36"/>
      <c r="Q921" s="36"/>
    </row>
    <row r="922" spans="13:17" x14ac:dyDescent="0.25">
      <c r="M922" s="36"/>
      <c r="Q922" s="36"/>
    </row>
    <row r="923" spans="13:17" x14ac:dyDescent="0.25">
      <c r="M923" s="36"/>
      <c r="Q923" s="36"/>
    </row>
    <row r="924" spans="13:17" x14ac:dyDescent="0.25">
      <c r="M924" s="36"/>
      <c r="Q924" s="36"/>
    </row>
    <row r="925" spans="13:17" x14ac:dyDescent="0.25">
      <c r="M925" s="36"/>
      <c r="Q925" s="36"/>
    </row>
    <row r="926" spans="13:17" x14ac:dyDescent="0.25">
      <c r="M926" s="36"/>
      <c r="Q926" s="36"/>
    </row>
    <row r="927" spans="13:17" x14ac:dyDescent="0.25">
      <c r="M927" s="36"/>
      <c r="Q927" s="36"/>
    </row>
    <row r="928" spans="13:17" x14ac:dyDescent="0.25">
      <c r="M928" s="36"/>
      <c r="Q928" s="36"/>
    </row>
    <row r="929" spans="13:17" x14ac:dyDescent="0.25">
      <c r="M929" s="36"/>
      <c r="Q929" s="36"/>
    </row>
    <row r="930" spans="13:17" x14ac:dyDescent="0.25">
      <c r="M930" s="36"/>
      <c r="Q930" s="36"/>
    </row>
    <row r="931" spans="13:17" x14ac:dyDescent="0.25">
      <c r="M931" s="36"/>
      <c r="Q931" s="36"/>
    </row>
    <row r="932" spans="13:17" x14ac:dyDescent="0.25">
      <c r="M932" s="36"/>
      <c r="Q932" s="36"/>
    </row>
    <row r="933" spans="13:17" x14ac:dyDescent="0.25">
      <c r="M933" s="36"/>
      <c r="Q933" s="36"/>
    </row>
    <row r="934" spans="13:17" x14ac:dyDescent="0.25">
      <c r="M934" s="36"/>
      <c r="Q934" s="36"/>
    </row>
    <row r="935" spans="13:17" x14ac:dyDescent="0.25">
      <c r="M935" s="36"/>
      <c r="Q935" s="36"/>
    </row>
    <row r="936" spans="13:17" x14ac:dyDescent="0.25">
      <c r="M936" s="36"/>
      <c r="Q936" s="36"/>
    </row>
    <row r="937" spans="13:17" x14ac:dyDescent="0.25">
      <c r="M937" s="36"/>
      <c r="Q937" s="36"/>
    </row>
    <row r="938" spans="13:17" x14ac:dyDescent="0.25">
      <c r="M938" s="36"/>
      <c r="Q938" s="36"/>
    </row>
    <row r="939" spans="13:17" x14ac:dyDescent="0.25">
      <c r="M939" s="36"/>
      <c r="Q939" s="36"/>
    </row>
    <row r="940" spans="13:17" x14ac:dyDescent="0.25">
      <c r="M940" s="36"/>
      <c r="Q940" s="36"/>
    </row>
    <row r="941" spans="13:17" x14ac:dyDescent="0.25">
      <c r="M941" s="36"/>
      <c r="Q941" s="36"/>
    </row>
    <row r="942" spans="13:17" x14ac:dyDescent="0.25">
      <c r="M942" s="36"/>
      <c r="Q942" s="36"/>
    </row>
    <row r="943" spans="13:17" x14ac:dyDescent="0.25">
      <c r="M943" s="36"/>
      <c r="Q943" s="36"/>
    </row>
    <row r="944" spans="13:17" x14ac:dyDescent="0.25">
      <c r="M944" s="36"/>
      <c r="Q944" s="36"/>
    </row>
    <row r="945" spans="13:17" x14ac:dyDescent="0.25">
      <c r="M945" s="36"/>
      <c r="Q945" s="36"/>
    </row>
    <row r="946" spans="13:17" x14ac:dyDescent="0.25">
      <c r="M946" s="36"/>
      <c r="Q946" s="36"/>
    </row>
    <row r="947" spans="13:17" x14ac:dyDescent="0.25">
      <c r="M947" s="36"/>
      <c r="Q947" s="36"/>
    </row>
    <row r="948" spans="13:17" x14ac:dyDescent="0.25">
      <c r="M948" s="36"/>
      <c r="Q948" s="36"/>
    </row>
    <row r="949" spans="13:17" x14ac:dyDescent="0.25">
      <c r="M949" s="36"/>
      <c r="Q949" s="36"/>
    </row>
    <row r="950" spans="13:17" x14ac:dyDescent="0.25">
      <c r="M950" s="36"/>
      <c r="Q950" s="36"/>
    </row>
    <row r="951" spans="13:17" x14ac:dyDescent="0.25">
      <c r="M951" s="36"/>
      <c r="Q951" s="36"/>
    </row>
    <row r="952" spans="13:17" x14ac:dyDescent="0.25">
      <c r="M952" s="36"/>
      <c r="Q952" s="36"/>
    </row>
    <row r="953" spans="13:17" x14ac:dyDescent="0.25">
      <c r="M953" s="36"/>
      <c r="Q953" s="36"/>
    </row>
    <row r="954" spans="13:17" x14ac:dyDescent="0.25">
      <c r="M954" s="36"/>
      <c r="Q954" s="36"/>
    </row>
    <row r="955" spans="13:17" x14ac:dyDescent="0.25">
      <c r="M955" s="36"/>
      <c r="Q955" s="36"/>
    </row>
    <row r="956" spans="13:17" x14ac:dyDescent="0.25">
      <c r="M956" s="36"/>
      <c r="Q956" s="36"/>
    </row>
    <row r="957" spans="13:17" x14ac:dyDescent="0.25">
      <c r="M957" s="36"/>
      <c r="Q957" s="36"/>
    </row>
    <row r="958" spans="13:17" x14ac:dyDescent="0.25">
      <c r="M958" s="36"/>
      <c r="Q958" s="36"/>
    </row>
    <row r="959" spans="13:17" x14ac:dyDescent="0.25">
      <c r="M959" s="36"/>
      <c r="Q959" s="36"/>
    </row>
    <row r="960" spans="13:17" x14ac:dyDescent="0.25">
      <c r="M960" s="36"/>
      <c r="Q960" s="36"/>
    </row>
    <row r="961" spans="13:17" x14ac:dyDescent="0.25">
      <c r="M961" s="36"/>
      <c r="Q961" s="36"/>
    </row>
    <row r="962" spans="13:17" x14ac:dyDescent="0.25">
      <c r="M962" s="36"/>
      <c r="Q962" s="36"/>
    </row>
    <row r="963" spans="13:17" x14ac:dyDescent="0.25">
      <c r="M963" s="36"/>
      <c r="Q963" s="36"/>
    </row>
    <row r="964" spans="13:17" x14ac:dyDescent="0.25">
      <c r="M964" s="36"/>
      <c r="Q964" s="36"/>
    </row>
    <row r="965" spans="13:17" x14ac:dyDescent="0.25">
      <c r="M965" s="36"/>
      <c r="Q965" s="36"/>
    </row>
    <row r="966" spans="13:17" x14ac:dyDescent="0.25">
      <c r="M966" s="36"/>
      <c r="Q966" s="36"/>
    </row>
    <row r="967" spans="13:17" x14ac:dyDescent="0.25">
      <c r="M967" s="36"/>
      <c r="Q967" s="36"/>
    </row>
    <row r="968" spans="13:17" x14ac:dyDescent="0.25">
      <c r="M968" s="36"/>
      <c r="Q968" s="36"/>
    </row>
    <row r="969" spans="13:17" x14ac:dyDescent="0.25">
      <c r="M969" s="36"/>
      <c r="Q969" s="36"/>
    </row>
    <row r="970" spans="13:17" x14ac:dyDescent="0.25">
      <c r="M970" s="36"/>
      <c r="Q970" s="36"/>
    </row>
    <row r="971" spans="13:17" x14ac:dyDescent="0.25">
      <c r="M971" s="36"/>
      <c r="Q971" s="36"/>
    </row>
    <row r="972" spans="13:17" x14ac:dyDescent="0.25">
      <c r="M972" s="36"/>
      <c r="Q972" s="36"/>
    </row>
    <row r="973" spans="13:17" x14ac:dyDescent="0.25">
      <c r="M973" s="36"/>
      <c r="Q973" s="36"/>
    </row>
    <row r="974" spans="13:17" x14ac:dyDescent="0.25">
      <c r="M974" s="36"/>
      <c r="Q974" s="36"/>
    </row>
    <row r="975" spans="13:17" x14ac:dyDescent="0.25">
      <c r="M975" s="36"/>
      <c r="Q975" s="36"/>
    </row>
    <row r="976" spans="13:17" x14ac:dyDescent="0.25">
      <c r="M976" s="36"/>
      <c r="Q976" s="36"/>
    </row>
    <row r="977" spans="13:17" x14ac:dyDescent="0.25">
      <c r="M977" s="36"/>
      <c r="Q977" s="36"/>
    </row>
    <row r="978" spans="13:17" x14ac:dyDescent="0.25">
      <c r="M978" s="36"/>
      <c r="Q978" s="36"/>
    </row>
    <row r="979" spans="13:17" x14ac:dyDescent="0.25">
      <c r="M979" s="36"/>
      <c r="Q979" s="36"/>
    </row>
    <row r="980" spans="13:17" x14ac:dyDescent="0.25">
      <c r="M980" s="36"/>
      <c r="Q980" s="36"/>
    </row>
    <row r="981" spans="13:17" x14ac:dyDescent="0.25">
      <c r="M981" s="36"/>
      <c r="Q981" s="36"/>
    </row>
    <row r="982" spans="13:17" x14ac:dyDescent="0.25">
      <c r="M982" s="36"/>
      <c r="Q982" s="36"/>
    </row>
    <row r="983" spans="13:17" x14ac:dyDescent="0.25">
      <c r="M983" s="36"/>
      <c r="Q983" s="36"/>
    </row>
    <row r="984" spans="13:17" x14ac:dyDescent="0.25">
      <c r="M984" s="36"/>
      <c r="Q984" s="36"/>
    </row>
    <row r="985" spans="13:17" x14ac:dyDescent="0.25">
      <c r="M985" s="36"/>
      <c r="Q985" s="36"/>
    </row>
    <row r="986" spans="13:17" x14ac:dyDescent="0.25">
      <c r="M986" s="36"/>
      <c r="Q986" s="36"/>
    </row>
    <row r="987" spans="13:17" x14ac:dyDescent="0.25">
      <c r="M987" s="36"/>
      <c r="Q987" s="36"/>
    </row>
    <row r="988" spans="13:17" x14ac:dyDescent="0.25">
      <c r="M988" s="36"/>
      <c r="Q988" s="36"/>
    </row>
    <row r="989" spans="13:17" x14ac:dyDescent="0.25">
      <c r="M989" s="36"/>
      <c r="Q989" s="36"/>
    </row>
    <row r="990" spans="13:17" x14ac:dyDescent="0.25">
      <c r="M990" s="36"/>
      <c r="Q990" s="36"/>
    </row>
    <row r="991" spans="13:17" x14ac:dyDescent="0.25">
      <c r="M991" s="36"/>
      <c r="Q991" s="36"/>
    </row>
    <row r="992" spans="13:17" x14ac:dyDescent="0.25">
      <c r="M992" s="36"/>
      <c r="Q992" s="36"/>
    </row>
    <row r="993" spans="13:17" x14ac:dyDescent="0.25">
      <c r="M993" s="36"/>
      <c r="Q993" s="36"/>
    </row>
    <row r="994" spans="13:17" x14ac:dyDescent="0.25">
      <c r="M994" s="36"/>
      <c r="Q994" s="36"/>
    </row>
    <row r="995" spans="13:17" x14ac:dyDescent="0.25">
      <c r="M995" s="36"/>
      <c r="Q995" s="36"/>
    </row>
    <row r="996" spans="13:17" x14ac:dyDescent="0.25">
      <c r="M996" s="36"/>
      <c r="Q996" s="36"/>
    </row>
    <row r="997" spans="13:17" x14ac:dyDescent="0.25">
      <c r="M997" s="36"/>
      <c r="Q997" s="36"/>
    </row>
    <row r="998" spans="13:17" x14ac:dyDescent="0.25">
      <c r="M998" s="36"/>
      <c r="Q998" s="36"/>
    </row>
    <row r="999" spans="13:17" x14ac:dyDescent="0.25">
      <c r="M999" s="36"/>
      <c r="Q999" s="36"/>
    </row>
    <row r="1000" spans="13:17" x14ac:dyDescent="0.25">
      <c r="M1000" s="36"/>
      <c r="Q1000" s="36"/>
    </row>
    <row r="1001" spans="13:17" x14ac:dyDescent="0.25">
      <c r="M1001" s="36"/>
      <c r="Q1001" s="36"/>
    </row>
    <row r="1002" spans="13:17" x14ac:dyDescent="0.25">
      <c r="M1002" s="36"/>
      <c r="Q1002" s="36"/>
    </row>
    <row r="1003" spans="13:17" x14ac:dyDescent="0.25">
      <c r="M1003" s="36"/>
      <c r="Q1003" s="36"/>
    </row>
    <row r="1004" spans="13:17" x14ac:dyDescent="0.25">
      <c r="M1004" s="36"/>
      <c r="Q1004" s="36"/>
    </row>
    <row r="1005" spans="13:17" x14ac:dyDescent="0.25">
      <c r="M1005" s="36"/>
      <c r="Q1005" s="36"/>
    </row>
    <row r="1006" spans="13:17" x14ac:dyDescent="0.25">
      <c r="M1006" s="36"/>
      <c r="Q1006" s="36"/>
    </row>
    <row r="1007" spans="13:17" x14ac:dyDescent="0.25">
      <c r="M1007" s="36"/>
      <c r="Q1007" s="36"/>
    </row>
    <row r="1008" spans="13:17" x14ac:dyDescent="0.25">
      <c r="M1008" s="36"/>
      <c r="Q1008" s="36"/>
    </row>
    <row r="1009" spans="13:17" x14ac:dyDescent="0.25">
      <c r="M1009" s="36"/>
      <c r="Q1009" s="36"/>
    </row>
    <row r="1010" spans="13:17" x14ac:dyDescent="0.25">
      <c r="M1010" s="36"/>
      <c r="Q1010" s="36"/>
    </row>
    <row r="1011" spans="13:17" x14ac:dyDescent="0.25">
      <c r="M1011" s="36"/>
      <c r="Q1011" s="36"/>
    </row>
    <row r="1012" spans="13:17" x14ac:dyDescent="0.25">
      <c r="M1012" s="36"/>
      <c r="Q1012" s="36"/>
    </row>
    <row r="1013" spans="13:17" x14ac:dyDescent="0.25">
      <c r="M1013" s="36"/>
      <c r="Q1013" s="36"/>
    </row>
    <row r="1014" spans="13:17" x14ac:dyDescent="0.25">
      <c r="M1014" s="36"/>
      <c r="Q1014" s="36"/>
    </row>
    <row r="1015" spans="13:17" x14ac:dyDescent="0.25">
      <c r="M1015" s="36"/>
      <c r="Q1015" s="36"/>
    </row>
    <row r="1016" spans="13:17" x14ac:dyDescent="0.25">
      <c r="M1016" s="36"/>
      <c r="Q1016" s="36"/>
    </row>
    <row r="1017" spans="13:17" x14ac:dyDescent="0.25">
      <c r="M1017" s="36"/>
      <c r="Q1017" s="36"/>
    </row>
    <row r="1018" spans="13:17" x14ac:dyDescent="0.25">
      <c r="M1018" s="36"/>
      <c r="Q1018" s="36"/>
    </row>
    <row r="1019" spans="13:17" x14ac:dyDescent="0.25">
      <c r="M1019" s="36"/>
      <c r="Q1019" s="36"/>
    </row>
    <row r="1020" spans="13:17" x14ac:dyDescent="0.25">
      <c r="M1020" s="36"/>
      <c r="Q1020" s="36"/>
    </row>
    <row r="1021" spans="13:17" x14ac:dyDescent="0.25">
      <c r="M1021" s="36"/>
      <c r="Q1021" s="36"/>
    </row>
    <row r="1022" spans="13:17" x14ac:dyDescent="0.25">
      <c r="M1022" s="36"/>
      <c r="Q1022" s="36"/>
    </row>
    <row r="1023" spans="13:17" x14ac:dyDescent="0.25">
      <c r="M1023" s="36"/>
      <c r="Q1023" s="36"/>
    </row>
    <row r="1024" spans="13:17" x14ac:dyDescent="0.25">
      <c r="M1024" s="36"/>
      <c r="Q1024" s="36"/>
    </row>
    <row r="1025" spans="13:17" x14ac:dyDescent="0.25">
      <c r="M1025" s="36"/>
      <c r="Q1025" s="36"/>
    </row>
    <row r="1026" spans="13:17" x14ac:dyDescent="0.25">
      <c r="M1026" s="36"/>
      <c r="Q1026" s="36"/>
    </row>
    <row r="1027" spans="13:17" x14ac:dyDescent="0.25">
      <c r="M1027" s="36"/>
      <c r="Q1027" s="36"/>
    </row>
    <row r="1028" spans="13:17" x14ac:dyDescent="0.25">
      <c r="M1028" s="36"/>
      <c r="Q1028" s="36"/>
    </row>
    <row r="1029" spans="13:17" x14ac:dyDescent="0.25">
      <c r="M1029" s="36"/>
      <c r="Q1029" s="36"/>
    </row>
    <row r="1030" spans="13:17" x14ac:dyDescent="0.25">
      <c r="M1030" s="36"/>
      <c r="Q1030" s="36"/>
    </row>
    <row r="1031" spans="13:17" x14ac:dyDescent="0.25">
      <c r="M1031" s="36"/>
      <c r="Q1031" s="36"/>
    </row>
    <row r="1032" spans="13:17" x14ac:dyDescent="0.25">
      <c r="M1032" s="36"/>
      <c r="Q1032" s="36"/>
    </row>
    <row r="1033" spans="13:17" x14ac:dyDescent="0.25">
      <c r="M1033" s="36"/>
      <c r="Q1033" s="36"/>
    </row>
    <row r="1034" spans="13:17" x14ac:dyDescent="0.25">
      <c r="M1034" s="36"/>
      <c r="Q1034" s="36"/>
    </row>
    <row r="1035" spans="13:17" x14ac:dyDescent="0.25">
      <c r="M1035" s="36"/>
      <c r="Q1035" s="36"/>
    </row>
    <row r="1036" spans="13:17" x14ac:dyDescent="0.25">
      <c r="M1036" s="36"/>
      <c r="Q1036" s="36"/>
    </row>
    <row r="1037" spans="13:17" x14ac:dyDescent="0.25">
      <c r="M1037" s="36"/>
      <c r="Q1037" s="36"/>
    </row>
    <row r="1038" spans="13:17" x14ac:dyDescent="0.25">
      <c r="M1038" s="36"/>
      <c r="Q1038" s="36"/>
    </row>
    <row r="1039" spans="13:17" x14ac:dyDescent="0.25">
      <c r="M1039" s="36"/>
      <c r="Q1039" s="36"/>
    </row>
    <row r="1040" spans="13:17" x14ac:dyDescent="0.25">
      <c r="M1040" s="36"/>
      <c r="Q1040" s="36"/>
    </row>
    <row r="1041" spans="13:17" x14ac:dyDescent="0.25">
      <c r="M1041" s="36"/>
      <c r="Q1041" s="36"/>
    </row>
    <row r="1042" spans="13:17" x14ac:dyDescent="0.25">
      <c r="M1042" s="36"/>
      <c r="Q1042" s="36"/>
    </row>
    <row r="1043" spans="13:17" x14ac:dyDescent="0.25">
      <c r="M1043" s="36"/>
      <c r="Q1043" s="36"/>
    </row>
    <row r="1044" spans="13:17" x14ac:dyDescent="0.25">
      <c r="M1044" s="36"/>
      <c r="Q1044" s="36"/>
    </row>
    <row r="1045" spans="13:17" x14ac:dyDescent="0.25">
      <c r="M1045" s="36"/>
      <c r="Q1045" s="36"/>
    </row>
    <row r="1046" spans="13:17" x14ac:dyDescent="0.25">
      <c r="M1046" s="36"/>
      <c r="Q1046" s="36"/>
    </row>
    <row r="1047" spans="13:17" x14ac:dyDescent="0.25">
      <c r="M1047" s="36"/>
      <c r="Q1047" s="36"/>
    </row>
    <row r="1048" spans="13:17" x14ac:dyDescent="0.25">
      <c r="M1048" s="36"/>
      <c r="Q1048" s="36"/>
    </row>
    <row r="1049" spans="13:17" x14ac:dyDescent="0.25">
      <c r="M1049" s="36"/>
      <c r="Q1049" s="36"/>
    </row>
    <row r="1050" spans="13:17" x14ac:dyDescent="0.25">
      <c r="M1050" s="36"/>
      <c r="Q1050" s="36"/>
    </row>
    <row r="1051" spans="13:17" x14ac:dyDescent="0.25">
      <c r="M1051" s="36"/>
      <c r="Q1051" s="36"/>
    </row>
    <row r="1052" spans="13:17" x14ac:dyDescent="0.25">
      <c r="M1052" s="36"/>
      <c r="Q1052" s="36"/>
    </row>
    <row r="1053" spans="13:17" x14ac:dyDescent="0.25">
      <c r="M1053" s="36"/>
      <c r="Q1053" s="36"/>
    </row>
    <row r="1054" spans="13:17" x14ac:dyDescent="0.25">
      <c r="M1054" s="36"/>
      <c r="Q1054" s="36"/>
    </row>
    <row r="1055" spans="13:17" x14ac:dyDescent="0.25">
      <c r="M1055" s="36"/>
      <c r="Q1055" s="36"/>
    </row>
    <row r="1056" spans="13:17" x14ac:dyDescent="0.25">
      <c r="M1056" s="36"/>
      <c r="Q1056" s="36"/>
    </row>
    <row r="1057" spans="13:17" x14ac:dyDescent="0.25">
      <c r="M1057" s="36"/>
      <c r="Q1057" s="36"/>
    </row>
    <row r="1058" spans="13:17" x14ac:dyDescent="0.25">
      <c r="M1058" s="36"/>
      <c r="Q1058" s="36"/>
    </row>
    <row r="1059" spans="13:17" x14ac:dyDescent="0.25">
      <c r="M1059" s="36"/>
      <c r="Q1059" s="36"/>
    </row>
    <row r="1060" spans="13:17" x14ac:dyDescent="0.25">
      <c r="M1060" s="36"/>
      <c r="Q1060" s="36"/>
    </row>
    <row r="1061" spans="13:17" x14ac:dyDescent="0.25">
      <c r="M1061" s="36"/>
      <c r="Q1061" s="36"/>
    </row>
    <row r="1062" spans="13:17" x14ac:dyDescent="0.25">
      <c r="M1062" s="36"/>
      <c r="Q1062" s="36"/>
    </row>
    <row r="1063" spans="13:17" x14ac:dyDescent="0.25">
      <c r="M1063" s="36"/>
      <c r="Q1063" s="36"/>
    </row>
    <row r="1064" spans="13:17" x14ac:dyDescent="0.25">
      <c r="M1064" s="36"/>
      <c r="Q1064" s="36"/>
    </row>
    <row r="1065" spans="13:17" x14ac:dyDescent="0.25">
      <c r="M1065" s="36"/>
      <c r="Q1065" s="36"/>
    </row>
    <row r="1066" spans="13:17" x14ac:dyDescent="0.25">
      <c r="M1066" s="36"/>
      <c r="Q1066" s="36"/>
    </row>
    <row r="1067" spans="13:17" x14ac:dyDescent="0.25">
      <c r="M1067" s="36"/>
      <c r="Q1067" s="36"/>
    </row>
    <row r="1068" spans="13:17" x14ac:dyDescent="0.25">
      <c r="M1068" s="36"/>
      <c r="Q1068" s="36"/>
    </row>
    <row r="1069" spans="13:17" x14ac:dyDescent="0.25">
      <c r="M1069" s="36"/>
      <c r="Q1069" s="36"/>
    </row>
    <row r="1070" spans="13:17" x14ac:dyDescent="0.25">
      <c r="M1070" s="36"/>
      <c r="Q1070" s="36"/>
    </row>
    <row r="1071" spans="13:17" x14ac:dyDescent="0.25">
      <c r="M1071" s="36"/>
      <c r="Q1071" s="36"/>
    </row>
    <row r="1072" spans="13:17" x14ac:dyDescent="0.25">
      <c r="M1072" s="36"/>
      <c r="Q1072" s="36"/>
    </row>
    <row r="1073" spans="13:17" x14ac:dyDescent="0.25">
      <c r="M1073" s="36"/>
      <c r="Q1073" s="36"/>
    </row>
    <row r="1074" spans="13:17" x14ac:dyDescent="0.25">
      <c r="M1074" s="36"/>
      <c r="Q1074" s="36"/>
    </row>
    <row r="1075" spans="13:17" x14ac:dyDescent="0.25">
      <c r="M1075" s="36"/>
      <c r="Q1075" s="36"/>
    </row>
    <row r="1076" spans="13:17" x14ac:dyDescent="0.25">
      <c r="M1076" s="36"/>
      <c r="Q1076" s="36"/>
    </row>
    <row r="1077" spans="13:17" x14ac:dyDescent="0.25">
      <c r="M1077" s="36"/>
      <c r="Q1077" s="36"/>
    </row>
    <row r="1078" spans="13:17" x14ac:dyDescent="0.25">
      <c r="M1078" s="36"/>
      <c r="Q1078" s="36"/>
    </row>
    <row r="1079" spans="13:17" x14ac:dyDescent="0.25">
      <c r="M1079" s="36"/>
      <c r="Q1079" s="36"/>
    </row>
    <row r="1080" spans="13:17" x14ac:dyDescent="0.25">
      <c r="M1080" s="36"/>
      <c r="Q1080" s="36"/>
    </row>
    <row r="1081" spans="13:17" x14ac:dyDescent="0.25">
      <c r="M1081" s="36"/>
      <c r="Q1081" s="36"/>
    </row>
    <row r="1082" spans="13:17" x14ac:dyDescent="0.25">
      <c r="M1082" s="36"/>
      <c r="Q1082" s="36"/>
    </row>
    <row r="1083" spans="13:17" x14ac:dyDescent="0.25">
      <c r="M1083" s="36"/>
      <c r="Q1083" s="36"/>
    </row>
    <row r="1084" spans="13:17" x14ac:dyDescent="0.25">
      <c r="M1084" s="36"/>
      <c r="Q1084" s="36"/>
    </row>
    <row r="1085" spans="13:17" x14ac:dyDescent="0.25">
      <c r="M1085" s="36"/>
      <c r="Q1085" s="36"/>
    </row>
    <row r="1086" spans="13:17" x14ac:dyDescent="0.25">
      <c r="M1086" s="36"/>
      <c r="Q1086" s="36"/>
    </row>
    <row r="1087" spans="13:17" x14ac:dyDescent="0.25">
      <c r="M1087" s="36"/>
      <c r="Q1087" s="36"/>
    </row>
    <row r="1088" spans="13:17" x14ac:dyDescent="0.25">
      <c r="M1088" s="36"/>
      <c r="Q1088" s="36"/>
    </row>
    <row r="1089" spans="13:17" x14ac:dyDescent="0.25">
      <c r="M1089" s="36"/>
      <c r="Q1089" s="36"/>
    </row>
    <row r="1090" spans="13:17" x14ac:dyDescent="0.25">
      <c r="M1090" s="36"/>
      <c r="Q1090" s="36"/>
    </row>
    <row r="1091" spans="13:17" x14ac:dyDescent="0.25">
      <c r="M1091" s="36"/>
      <c r="Q1091" s="36"/>
    </row>
    <row r="1092" spans="13:17" x14ac:dyDescent="0.25">
      <c r="M1092" s="36"/>
      <c r="Q1092" s="36"/>
    </row>
    <row r="1093" spans="13:17" x14ac:dyDescent="0.25">
      <c r="M1093" s="36"/>
      <c r="Q1093" s="36"/>
    </row>
    <row r="1094" spans="13:17" x14ac:dyDescent="0.25">
      <c r="M1094" s="36"/>
      <c r="Q1094" s="36"/>
    </row>
    <row r="1095" spans="13:17" x14ac:dyDescent="0.25">
      <c r="M1095" s="36"/>
      <c r="Q1095" s="36"/>
    </row>
    <row r="1096" spans="13:17" x14ac:dyDescent="0.25">
      <c r="M1096" s="36"/>
      <c r="Q1096" s="36"/>
    </row>
    <row r="1097" spans="13:17" x14ac:dyDescent="0.25">
      <c r="M1097" s="36"/>
      <c r="Q1097" s="36"/>
    </row>
    <row r="1098" spans="13:17" x14ac:dyDescent="0.25">
      <c r="M1098" s="36"/>
      <c r="Q1098" s="36"/>
    </row>
    <row r="1099" spans="13:17" x14ac:dyDescent="0.25">
      <c r="M1099" s="36"/>
      <c r="Q1099" s="36"/>
    </row>
    <row r="1100" spans="13:17" x14ac:dyDescent="0.25">
      <c r="M1100" s="36"/>
      <c r="Q1100" s="36"/>
    </row>
    <row r="1101" spans="13:17" x14ac:dyDescent="0.25">
      <c r="M1101" s="36"/>
      <c r="Q1101" s="36"/>
    </row>
    <row r="1102" spans="13:17" x14ac:dyDescent="0.25">
      <c r="M1102" s="36"/>
      <c r="Q1102" s="36"/>
    </row>
    <row r="1103" spans="13:17" x14ac:dyDescent="0.25">
      <c r="M1103" s="36"/>
      <c r="Q1103" s="36"/>
    </row>
    <row r="1104" spans="13:17" x14ac:dyDescent="0.25">
      <c r="M1104" s="36"/>
      <c r="Q1104" s="36"/>
    </row>
    <row r="1105" spans="13:17" x14ac:dyDescent="0.25">
      <c r="M1105" s="36"/>
      <c r="Q1105" s="36"/>
    </row>
    <row r="1106" spans="13:17" x14ac:dyDescent="0.25">
      <c r="M1106" s="36"/>
      <c r="Q1106" s="36"/>
    </row>
    <row r="1107" spans="13:17" x14ac:dyDescent="0.25">
      <c r="M1107" s="36"/>
      <c r="Q1107" s="36"/>
    </row>
    <row r="1108" spans="13:17" x14ac:dyDescent="0.25">
      <c r="M1108" s="36"/>
      <c r="Q1108" s="36"/>
    </row>
    <row r="1109" spans="13:17" x14ac:dyDescent="0.25">
      <c r="M1109" s="36"/>
      <c r="Q1109" s="36"/>
    </row>
    <row r="1110" spans="13:17" x14ac:dyDescent="0.25">
      <c r="M1110" s="36"/>
      <c r="Q1110" s="36"/>
    </row>
    <row r="1111" spans="13:17" x14ac:dyDescent="0.25">
      <c r="M1111" s="36"/>
      <c r="Q1111" s="36"/>
    </row>
    <row r="1112" spans="13:17" x14ac:dyDescent="0.25">
      <c r="M1112" s="36"/>
      <c r="Q1112" s="36"/>
    </row>
    <row r="1113" spans="13:17" x14ac:dyDescent="0.25">
      <c r="M1113" s="36"/>
      <c r="Q1113" s="36"/>
    </row>
    <row r="1114" spans="13:17" x14ac:dyDescent="0.25">
      <c r="M1114" s="36"/>
      <c r="Q1114" s="36"/>
    </row>
    <row r="1115" spans="13:17" x14ac:dyDescent="0.25">
      <c r="M1115" s="36"/>
      <c r="Q1115" s="36"/>
    </row>
    <row r="1116" spans="13:17" x14ac:dyDescent="0.25">
      <c r="M1116" s="36"/>
      <c r="Q1116" s="36"/>
    </row>
    <row r="1117" spans="13:17" x14ac:dyDescent="0.25">
      <c r="M1117" s="36"/>
      <c r="Q1117" s="36"/>
    </row>
    <row r="1118" spans="13:17" x14ac:dyDescent="0.25">
      <c r="M1118" s="36"/>
      <c r="Q1118" s="36"/>
    </row>
    <row r="1119" spans="13:17" x14ac:dyDescent="0.25">
      <c r="M1119" s="36"/>
      <c r="Q1119" s="36"/>
    </row>
    <row r="1120" spans="13:17" x14ac:dyDescent="0.25">
      <c r="M1120" s="36"/>
      <c r="Q1120" s="36"/>
    </row>
    <row r="1121" spans="13:17" x14ac:dyDescent="0.25">
      <c r="M1121" s="36"/>
      <c r="Q1121" s="36"/>
    </row>
    <row r="1122" spans="13:17" x14ac:dyDescent="0.25">
      <c r="M1122" s="36"/>
      <c r="Q1122" s="36"/>
    </row>
    <row r="1123" spans="13:17" x14ac:dyDescent="0.25">
      <c r="M1123" s="36"/>
      <c r="Q1123" s="36"/>
    </row>
    <row r="1124" spans="13:17" x14ac:dyDescent="0.25">
      <c r="M1124" s="36"/>
      <c r="Q1124" s="36"/>
    </row>
    <row r="1125" spans="13:17" x14ac:dyDescent="0.25">
      <c r="M1125" s="36"/>
      <c r="Q1125" s="36"/>
    </row>
    <row r="1126" spans="13:17" x14ac:dyDescent="0.25">
      <c r="M1126" s="36"/>
      <c r="Q1126" s="36"/>
    </row>
    <row r="1127" spans="13:17" x14ac:dyDescent="0.25">
      <c r="M1127" s="36"/>
      <c r="Q1127" s="36"/>
    </row>
    <row r="1128" spans="13:17" x14ac:dyDescent="0.25">
      <c r="M1128" s="36"/>
      <c r="Q1128" s="36"/>
    </row>
    <row r="1129" spans="13:17" x14ac:dyDescent="0.25">
      <c r="M1129" s="36"/>
      <c r="Q1129" s="36"/>
    </row>
    <row r="1130" spans="13:17" x14ac:dyDescent="0.25">
      <c r="M1130" s="36"/>
      <c r="Q1130" s="36"/>
    </row>
    <row r="1131" spans="13:17" x14ac:dyDescent="0.25">
      <c r="M1131" s="36"/>
      <c r="Q1131" s="36"/>
    </row>
    <row r="1132" spans="13:17" x14ac:dyDescent="0.25">
      <c r="M1132" s="36"/>
      <c r="Q1132" s="36"/>
    </row>
    <row r="1133" spans="13:17" x14ac:dyDescent="0.25">
      <c r="M1133" s="36"/>
      <c r="Q1133" s="36"/>
    </row>
    <row r="1134" spans="13:17" x14ac:dyDescent="0.25">
      <c r="M1134" s="36"/>
      <c r="Q1134" s="36"/>
    </row>
    <row r="1135" spans="13:17" x14ac:dyDescent="0.25">
      <c r="M1135" s="36"/>
      <c r="Q1135" s="36"/>
    </row>
    <row r="1136" spans="13:17" x14ac:dyDescent="0.25">
      <c r="M1136" s="36"/>
      <c r="Q1136" s="36"/>
    </row>
    <row r="1137" spans="13:17" x14ac:dyDescent="0.25">
      <c r="M1137" s="36"/>
      <c r="Q1137" s="36"/>
    </row>
    <row r="1138" spans="13:17" x14ac:dyDescent="0.25">
      <c r="M1138" s="36"/>
      <c r="Q1138" s="36"/>
    </row>
    <row r="1139" spans="13:17" x14ac:dyDescent="0.25">
      <c r="M1139" s="36"/>
      <c r="Q1139" s="36"/>
    </row>
    <row r="1140" spans="13:17" x14ac:dyDescent="0.25">
      <c r="M1140" s="36"/>
      <c r="Q1140" s="36"/>
    </row>
    <row r="1141" spans="13:17" x14ac:dyDescent="0.25">
      <c r="M1141" s="36"/>
      <c r="Q1141" s="36"/>
    </row>
    <row r="1142" spans="13:17" x14ac:dyDescent="0.25">
      <c r="M1142" s="36"/>
      <c r="Q1142" s="36"/>
    </row>
    <row r="1143" spans="13:17" x14ac:dyDescent="0.25">
      <c r="M1143" s="36"/>
      <c r="Q1143" s="36"/>
    </row>
    <row r="1144" spans="13:17" x14ac:dyDescent="0.25">
      <c r="M1144" s="36"/>
      <c r="Q1144" s="36"/>
    </row>
    <row r="1145" spans="13:17" x14ac:dyDescent="0.25">
      <c r="M1145" s="36"/>
      <c r="Q1145" s="36"/>
    </row>
    <row r="1146" spans="13:17" x14ac:dyDescent="0.25">
      <c r="M1146" s="36"/>
      <c r="Q1146" s="36"/>
    </row>
    <row r="1147" spans="13:17" x14ac:dyDescent="0.25">
      <c r="M1147" s="36"/>
      <c r="Q1147" s="36"/>
    </row>
    <row r="1148" spans="13:17" x14ac:dyDescent="0.25">
      <c r="M1148" s="36"/>
      <c r="Q1148" s="36"/>
    </row>
    <row r="1149" spans="13:17" x14ac:dyDescent="0.25">
      <c r="M1149" s="36"/>
      <c r="Q1149" s="36"/>
    </row>
    <row r="1150" spans="13:17" x14ac:dyDescent="0.25">
      <c r="M1150" s="36"/>
      <c r="Q1150" s="36"/>
    </row>
    <row r="1151" spans="13:17" x14ac:dyDescent="0.25">
      <c r="M1151" s="36"/>
      <c r="Q1151" s="36"/>
    </row>
    <row r="1152" spans="13:17" x14ac:dyDescent="0.25">
      <c r="M1152" s="36"/>
      <c r="Q1152" s="36"/>
    </row>
    <row r="1153" spans="13:17" x14ac:dyDescent="0.25">
      <c r="M1153" s="36"/>
      <c r="Q1153" s="36"/>
    </row>
    <row r="1154" spans="13:17" x14ac:dyDescent="0.25">
      <c r="M1154" s="36"/>
      <c r="Q1154" s="36"/>
    </row>
    <row r="1155" spans="13:17" x14ac:dyDescent="0.25">
      <c r="M1155" s="36"/>
      <c r="Q1155" s="36"/>
    </row>
    <row r="1156" spans="13:17" x14ac:dyDescent="0.25">
      <c r="M1156" s="36"/>
      <c r="Q1156" s="36"/>
    </row>
    <row r="1157" spans="13:17" x14ac:dyDescent="0.25">
      <c r="M1157" s="36"/>
      <c r="Q1157" s="36"/>
    </row>
    <row r="1158" spans="13:17" x14ac:dyDescent="0.25">
      <c r="M1158" s="36"/>
      <c r="Q1158" s="36"/>
    </row>
    <row r="1159" spans="13:17" x14ac:dyDescent="0.25">
      <c r="M1159" s="36"/>
      <c r="Q1159" s="36"/>
    </row>
    <row r="1160" spans="13:17" x14ac:dyDescent="0.25">
      <c r="M1160" s="36"/>
      <c r="Q1160" s="36"/>
    </row>
    <row r="1161" spans="13:17" x14ac:dyDescent="0.25">
      <c r="M1161" s="36"/>
      <c r="Q1161" s="36"/>
    </row>
    <row r="1162" spans="13:17" x14ac:dyDescent="0.25">
      <c r="M1162" s="36"/>
      <c r="Q1162" s="36"/>
    </row>
    <row r="1163" spans="13:17" x14ac:dyDescent="0.25">
      <c r="M1163" s="36"/>
      <c r="Q1163" s="36"/>
    </row>
    <row r="1164" spans="13:17" x14ac:dyDescent="0.25">
      <c r="M1164" s="36"/>
      <c r="Q1164" s="36"/>
    </row>
    <row r="1165" spans="13:17" x14ac:dyDescent="0.25">
      <c r="M1165" s="36"/>
      <c r="Q1165" s="36"/>
    </row>
    <row r="1166" spans="13:17" x14ac:dyDescent="0.25">
      <c r="M1166" s="36"/>
      <c r="Q1166" s="36"/>
    </row>
    <row r="1167" spans="13:17" x14ac:dyDescent="0.25">
      <c r="M1167" s="36"/>
      <c r="Q1167" s="36"/>
    </row>
    <row r="1168" spans="13:17" x14ac:dyDescent="0.25">
      <c r="M1168" s="36"/>
      <c r="Q1168" s="36"/>
    </row>
    <row r="1169" spans="13:17" x14ac:dyDescent="0.25">
      <c r="M1169" s="36"/>
      <c r="Q1169" s="36"/>
    </row>
    <row r="1170" spans="13:17" x14ac:dyDescent="0.25">
      <c r="M1170" s="36"/>
      <c r="Q1170" s="36"/>
    </row>
    <row r="1171" spans="13:17" x14ac:dyDescent="0.25">
      <c r="M1171" s="36"/>
      <c r="Q1171" s="36"/>
    </row>
    <row r="1172" spans="13:17" x14ac:dyDescent="0.25">
      <c r="M1172" s="36"/>
      <c r="Q1172" s="36"/>
    </row>
    <row r="1173" spans="13:17" x14ac:dyDescent="0.25">
      <c r="M1173" s="36"/>
      <c r="Q1173" s="36"/>
    </row>
    <row r="1174" spans="13:17" x14ac:dyDescent="0.25">
      <c r="M1174" s="36"/>
      <c r="Q1174" s="36"/>
    </row>
    <row r="1175" spans="13:17" x14ac:dyDescent="0.25">
      <c r="M1175" s="36"/>
      <c r="Q1175" s="36"/>
    </row>
    <row r="1176" spans="13:17" x14ac:dyDescent="0.25">
      <c r="M1176" s="36"/>
      <c r="Q1176" s="36"/>
    </row>
    <row r="1177" spans="13:17" x14ac:dyDescent="0.25">
      <c r="M1177" s="36"/>
      <c r="Q1177" s="36"/>
    </row>
    <row r="1178" spans="13:17" x14ac:dyDescent="0.25">
      <c r="M1178" s="36"/>
      <c r="Q1178" s="36"/>
    </row>
    <row r="1179" spans="13:17" x14ac:dyDescent="0.25">
      <c r="M1179" s="36"/>
      <c r="Q1179" s="36"/>
    </row>
    <row r="1180" spans="13:17" x14ac:dyDescent="0.25">
      <c r="M1180" s="36"/>
      <c r="Q1180" s="36"/>
    </row>
    <row r="1181" spans="13:17" x14ac:dyDescent="0.25">
      <c r="M1181" s="36"/>
      <c r="Q1181" s="36"/>
    </row>
    <row r="1182" spans="13:17" x14ac:dyDescent="0.25">
      <c r="M1182" s="36"/>
      <c r="Q1182" s="36"/>
    </row>
    <row r="1183" spans="13:17" x14ac:dyDescent="0.25">
      <c r="M1183" s="36"/>
      <c r="Q1183" s="36"/>
    </row>
    <row r="1184" spans="13:17" x14ac:dyDescent="0.25">
      <c r="M1184" s="36"/>
      <c r="Q1184" s="36"/>
    </row>
    <row r="1185" spans="13:17" x14ac:dyDescent="0.25">
      <c r="M1185" s="36"/>
      <c r="Q1185" s="36"/>
    </row>
    <row r="1186" spans="13:17" x14ac:dyDescent="0.25">
      <c r="M1186" s="36"/>
      <c r="Q1186" s="36"/>
    </row>
    <row r="1187" spans="13:17" x14ac:dyDescent="0.25">
      <c r="M1187" s="36"/>
      <c r="Q1187" s="36"/>
    </row>
    <row r="1188" spans="13:17" x14ac:dyDescent="0.25">
      <c r="M1188" s="36"/>
      <c r="Q1188" s="36"/>
    </row>
    <row r="1189" spans="13:17" x14ac:dyDescent="0.25">
      <c r="M1189" s="36"/>
      <c r="Q1189" s="36"/>
    </row>
    <row r="1190" spans="13:17" x14ac:dyDescent="0.25">
      <c r="M1190" s="36"/>
      <c r="Q1190" s="36"/>
    </row>
    <row r="1191" spans="13:17" x14ac:dyDescent="0.25">
      <c r="M1191" s="36"/>
      <c r="Q1191" s="36"/>
    </row>
    <row r="1192" spans="13:17" x14ac:dyDescent="0.25">
      <c r="M1192" s="36"/>
      <c r="Q1192" s="36"/>
    </row>
    <row r="1193" spans="13:17" x14ac:dyDescent="0.25">
      <c r="M1193" s="36"/>
      <c r="Q1193" s="36"/>
    </row>
    <row r="1194" spans="13:17" x14ac:dyDescent="0.25">
      <c r="M1194" s="36"/>
      <c r="Q1194" s="36"/>
    </row>
    <row r="1195" spans="13:17" x14ac:dyDescent="0.25">
      <c r="M1195" s="36"/>
      <c r="Q1195" s="36"/>
    </row>
    <row r="1196" spans="13:17" x14ac:dyDescent="0.25">
      <c r="M1196" s="36"/>
      <c r="Q1196" s="36"/>
    </row>
    <row r="1197" spans="13:17" x14ac:dyDescent="0.25">
      <c r="M1197" s="36"/>
      <c r="Q1197" s="36"/>
    </row>
    <row r="1198" spans="13:17" x14ac:dyDescent="0.25">
      <c r="M1198" s="36"/>
      <c r="Q1198" s="36"/>
    </row>
    <row r="1199" spans="13:17" x14ac:dyDescent="0.25">
      <c r="M1199" s="36"/>
      <c r="Q1199" s="36"/>
    </row>
    <row r="1200" spans="13:17" x14ac:dyDescent="0.25">
      <c r="M1200" s="36"/>
      <c r="Q1200" s="36"/>
    </row>
    <row r="1201" spans="13:17" x14ac:dyDescent="0.25">
      <c r="M1201" s="36"/>
      <c r="Q1201" s="36"/>
    </row>
    <row r="1202" spans="13:17" x14ac:dyDescent="0.25">
      <c r="M1202" s="36"/>
      <c r="Q1202" s="36"/>
    </row>
    <row r="1203" spans="13:17" x14ac:dyDescent="0.25">
      <c r="M1203" s="36"/>
      <c r="Q1203" s="36"/>
    </row>
    <row r="1204" spans="13:17" x14ac:dyDescent="0.25">
      <c r="M1204" s="36"/>
      <c r="Q1204" s="36"/>
    </row>
    <row r="1205" spans="13:17" x14ac:dyDescent="0.25">
      <c r="M1205" s="36"/>
      <c r="Q1205" s="36"/>
    </row>
    <row r="1206" spans="13:17" x14ac:dyDescent="0.25">
      <c r="M1206" s="36"/>
      <c r="Q1206" s="36"/>
    </row>
    <row r="1207" spans="13:17" x14ac:dyDescent="0.25">
      <c r="M1207" s="36"/>
      <c r="Q1207" s="36"/>
    </row>
    <row r="1208" spans="13:17" x14ac:dyDescent="0.25">
      <c r="M1208" s="36"/>
      <c r="Q1208" s="36"/>
    </row>
    <row r="1209" spans="13:17" x14ac:dyDescent="0.25">
      <c r="M1209" s="36"/>
      <c r="Q1209" s="36"/>
    </row>
    <row r="1210" spans="13:17" x14ac:dyDescent="0.25">
      <c r="M1210" s="36"/>
      <c r="Q1210" s="36"/>
    </row>
    <row r="1211" spans="13:17" x14ac:dyDescent="0.25">
      <c r="M1211" s="36"/>
      <c r="Q1211" s="36"/>
    </row>
    <row r="1212" spans="13:17" x14ac:dyDescent="0.25">
      <c r="M1212" s="36"/>
      <c r="Q1212" s="36"/>
    </row>
    <row r="1213" spans="13:17" x14ac:dyDescent="0.25">
      <c r="M1213" s="36"/>
      <c r="Q1213" s="36"/>
    </row>
    <row r="1214" spans="13:17" x14ac:dyDescent="0.25">
      <c r="M1214" s="36"/>
      <c r="Q1214" s="36"/>
    </row>
    <row r="1215" spans="13:17" x14ac:dyDescent="0.25">
      <c r="M1215" s="36"/>
      <c r="Q1215" s="36"/>
    </row>
    <row r="1216" spans="13:17" x14ac:dyDescent="0.25">
      <c r="M1216" s="36"/>
      <c r="Q1216" s="36"/>
    </row>
    <row r="1217" spans="13:17" x14ac:dyDescent="0.25">
      <c r="M1217" s="36"/>
      <c r="Q1217" s="36"/>
    </row>
    <row r="1218" spans="13:17" x14ac:dyDescent="0.25">
      <c r="M1218" s="36"/>
      <c r="Q1218" s="36"/>
    </row>
    <row r="1219" spans="13:17" x14ac:dyDescent="0.25">
      <c r="M1219" s="36"/>
      <c r="Q1219" s="36"/>
    </row>
    <row r="1220" spans="13:17" x14ac:dyDescent="0.25">
      <c r="M1220" s="36"/>
      <c r="Q1220" s="36"/>
    </row>
    <row r="1221" spans="13:17" x14ac:dyDescent="0.25">
      <c r="M1221" s="36"/>
      <c r="Q1221" s="36"/>
    </row>
    <row r="1222" spans="13:17" x14ac:dyDescent="0.25">
      <c r="M1222" s="36"/>
      <c r="Q1222" s="36"/>
    </row>
    <row r="1223" spans="13:17" x14ac:dyDescent="0.25">
      <c r="M1223" s="36"/>
      <c r="Q1223" s="36"/>
    </row>
    <row r="1224" spans="13:17" x14ac:dyDescent="0.25">
      <c r="M1224" s="36"/>
      <c r="Q1224" s="36"/>
    </row>
    <row r="1225" spans="13:17" x14ac:dyDescent="0.25">
      <c r="M1225" s="36"/>
      <c r="Q1225" s="36"/>
    </row>
    <row r="1226" spans="13:17" x14ac:dyDescent="0.25">
      <c r="M1226" s="36"/>
      <c r="Q1226" s="36"/>
    </row>
    <row r="1227" spans="13:17" x14ac:dyDescent="0.25">
      <c r="M1227" s="36"/>
      <c r="Q1227" s="36"/>
    </row>
    <row r="1228" spans="13:17" x14ac:dyDescent="0.25">
      <c r="M1228" s="36"/>
      <c r="Q1228" s="36"/>
    </row>
    <row r="1229" spans="13:17" x14ac:dyDescent="0.25">
      <c r="M1229" s="36"/>
      <c r="Q1229" s="36"/>
    </row>
    <row r="1230" spans="13:17" x14ac:dyDescent="0.25">
      <c r="M1230" s="36"/>
      <c r="Q1230" s="36"/>
    </row>
    <row r="1231" spans="13:17" x14ac:dyDescent="0.25">
      <c r="M1231" s="36"/>
      <c r="Q1231" s="36"/>
    </row>
    <row r="1232" spans="13:17" x14ac:dyDescent="0.25">
      <c r="M1232" s="36"/>
      <c r="Q1232" s="36"/>
    </row>
    <row r="1233" spans="13:17" x14ac:dyDescent="0.25">
      <c r="M1233" s="36"/>
      <c r="Q1233" s="36"/>
    </row>
    <row r="1234" spans="13:17" x14ac:dyDescent="0.25">
      <c r="M1234" s="36"/>
      <c r="Q1234" s="36"/>
    </row>
    <row r="1235" spans="13:17" x14ac:dyDescent="0.25">
      <c r="M1235" s="36"/>
      <c r="Q1235" s="36"/>
    </row>
    <row r="1236" spans="13:17" x14ac:dyDescent="0.25">
      <c r="M1236" s="36"/>
      <c r="Q1236" s="36"/>
    </row>
    <row r="1237" spans="13:17" x14ac:dyDescent="0.25">
      <c r="M1237" s="36"/>
      <c r="Q1237" s="36"/>
    </row>
    <row r="1238" spans="13:17" x14ac:dyDescent="0.25">
      <c r="M1238" s="36"/>
      <c r="Q1238" s="36"/>
    </row>
    <row r="1239" spans="13:17" x14ac:dyDescent="0.25">
      <c r="M1239" s="36"/>
      <c r="Q1239" s="36"/>
    </row>
    <row r="1240" spans="13:17" x14ac:dyDescent="0.25">
      <c r="M1240" s="36"/>
      <c r="Q1240" s="36"/>
    </row>
    <row r="1241" spans="13:17" x14ac:dyDescent="0.25">
      <c r="M1241" s="36"/>
      <c r="Q1241" s="36"/>
    </row>
    <row r="1242" spans="13:17" x14ac:dyDescent="0.25">
      <c r="M1242" s="36"/>
      <c r="Q1242" s="36"/>
    </row>
    <row r="1243" spans="13:17" x14ac:dyDescent="0.25">
      <c r="M1243" s="36"/>
      <c r="Q1243" s="36"/>
    </row>
    <row r="1244" spans="13:17" x14ac:dyDescent="0.25">
      <c r="M1244" s="36"/>
      <c r="Q1244" s="36"/>
    </row>
    <row r="1245" spans="13:17" x14ac:dyDescent="0.25">
      <c r="M1245" s="36"/>
      <c r="Q1245" s="36"/>
    </row>
    <row r="1246" spans="13:17" x14ac:dyDescent="0.25">
      <c r="M1246" s="36"/>
      <c r="Q1246" s="36"/>
    </row>
    <row r="1247" spans="13:17" x14ac:dyDescent="0.25">
      <c r="M1247" s="36"/>
      <c r="Q1247" s="36"/>
    </row>
    <row r="1248" spans="13:17" x14ac:dyDescent="0.25">
      <c r="M1248" s="36"/>
      <c r="Q1248" s="36"/>
    </row>
    <row r="1249" spans="13:17" x14ac:dyDescent="0.25">
      <c r="M1249" s="36"/>
      <c r="Q1249" s="36"/>
    </row>
    <row r="1250" spans="13:17" x14ac:dyDescent="0.25">
      <c r="M1250" s="36"/>
      <c r="Q1250" s="36"/>
    </row>
    <row r="1251" spans="13:17" x14ac:dyDescent="0.25">
      <c r="M1251" s="36"/>
      <c r="Q1251" s="36"/>
    </row>
    <row r="1252" spans="13:17" x14ac:dyDescent="0.25">
      <c r="M1252" s="36"/>
      <c r="Q1252" s="36"/>
    </row>
    <row r="1253" spans="13:17" x14ac:dyDescent="0.25">
      <c r="M1253" s="36"/>
      <c r="Q1253" s="36"/>
    </row>
    <row r="1254" spans="13:17" x14ac:dyDescent="0.25">
      <c r="M1254" s="36"/>
      <c r="Q1254" s="36"/>
    </row>
    <row r="1255" spans="13:17" x14ac:dyDescent="0.25">
      <c r="M1255" s="36"/>
      <c r="Q1255" s="36"/>
    </row>
    <row r="1256" spans="13:17" x14ac:dyDescent="0.25">
      <c r="M1256" s="36"/>
      <c r="Q1256" s="36"/>
    </row>
    <row r="1257" spans="13:17" x14ac:dyDescent="0.25">
      <c r="M1257" s="36"/>
      <c r="Q1257" s="36"/>
    </row>
    <row r="1258" spans="13:17" x14ac:dyDescent="0.25">
      <c r="M1258" s="36"/>
      <c r="Q1258" s="36"/>
    </row>
    <row r="1259" spans="13:17" x14ac:dyDescent="0.25">
      <c r="M1259" s="36"/>
      <c r="Q1259" s="36"/>
    </row>
    <row r="1260" spans="13:17" x14ac:dyDescent="0.25">
      <c r="M1260" s="36"/>
      <c r="Q1260" s="36"/>
    </row>
    <row r="1261" spans="13:17" x14ac:dyDescent="0.25">
      <c r="M1261" s="36"/>
      <c r="Q1261" s="36"/>
    </row>
    <row r="1262" spans="13:17" x14ac:dyDescent="0.25">
      <c r="M1262" s="36"/>
      <c r="Q1262" s="36"/>
    </row>
    <row r="1263" spans="13:17" x14ac:dyDescent="0.25">
      <c r="M1263" s="36"/>
      <c r="Q1263" s="36"/>
    </row>
    <row r="1264" spans="13:17" x14ac:dyDescent="0.25">
      <c r="M1264" s="36"/>
      <c r="Q1264" s="36"/>
    </row>
    <row r="1265" spans="13:17" x14ac:dyDescent="0.25">
      <c r="M1265" s="36"/>
      <c r="Q1265" s="36"/>
    </row>
    <row r="1266" spans="13:17" x14ac:dyDescent="0.25">
      <c r="M1266" s="36"/>
      <c r="Q1266" s="36"/>
    </row>
    <row r="1267" spans="13:17" x14ac:dyDescent="0.25">
      <c r="M1267" s="36"/>
      <c r="Q1267" s="36"/>
    </row>
    <row r="1268" spans="13:17" x14ac:dyDescent="0.25">
      <c r="M1268" s="36"/>
      <c r="Q1268" s="36"/>
    </row>
    <row r="1269" spans="13:17" x14ac:dyDescent="0.25">
      <c r="M1269" s="36"/>
      <c r="Q1269" s="36"/>
    </row>
    <row r="1270" spans="13:17" x14ac:dyDescent="0.25">
      <c r="M1270" s="36"/>
      <c r="Q1270" s="36"/>
    </row>
    <row r="1271" spans="13:17" x14ac:dyDescent="0.25">
      <c r="M1271" s="36"/>
      <c r="Q1271" s="36"/>
    </row>
    <row r="1272" spans="13:17" x14ac:dyDescent="0.25">
      <c r="M1272" s="36"/>
      <c r="Q1272" s="36"/>
    </row>
    <row r="1273" spans="13:17" x14ac:dyDescent="0.25">
      <c r="M1273" s="36"/>
      <c r="Q1273" s="36"/>
    </row>
    <row r="1274" spans="13:17" x14ac:dyDescent="0.25">
      <c r="M1274" s="36"/>
      <c r="Q1274" s="36"/>
    </row>
    <row r="1275" spans="13:17" x14ac:dyDescent="0.25">
      <c r="M1275" s="36"/>
      <c r="Q1275" s="36"/>
    </row>
    <row r="1276" spans="13:17" x14ac:dyDescent="0.25">
      <c r="M1276" s="36"/>
      <c r="Q1276" s="36"/>
    </row>
    <row r="1277" spans="13:17" x14ac:dyDescent="0.25">
      <c r="M1277" s="36"/>
      <c r="Q1277" s="36"/>
    </row>
    <row r="1278" spans="13:17" x14ac:dyDescent="0.25">
      <c r="M1278" s="36"/>
      <c r="Q1278" s="36"/>
    </row>
    <row r="1279" spans="13:17" x14ac:dyDescent="0.25">
      <c r="M1279" s="36"/>
      <c r="Q1279" s="36"/>
    </row>
    <row r="1280" spans="13:17" x14ac:dyDescent="0.25">
      <c r="M1280" s="36"/>
      <c r="Q1280" s="36"/>
    </row>
    <row r="1281" spans="13:17" x14ac:dyDescent="0.25">
      <c r="M1281" s="36"/>
      <c r="Q1281" s="36"/>
    </row>
    <row r="1282" spans="13:17" x14ac:dyDescent="0.25">
      <c r="M1282" s="36"/>
      <c r="Q1282" s="36"/>
    </row>
    <row r="1283" spans="13:17" x14ac:dyDescent="0.25">
      <c r="M1283" s="36"/>
      <c r="Q1283" s="36"/>
    </row>
    <row r="1284" spans="13:17" x14ac:dyDescent="0.25">
      <c r="M1284" s="36"/>
      <c r="Q1284" s="36"/>
    </row>
    <row r="1285" spans="13:17" x14ac:dyDescent="0.25">
      <c r="M1285" s="36"/>
      <c r="Q1285" s="36"/>
    </row>
    <row r="1286" spans="13:17" x14ac:dyDescent="0.25">
      <c r="M1286" s="36"/>
      <c r="Q1286" s="36"/>
    </row>
    <row r="1287" spans="13:17" x14ac:dyDescent="0.25">
      <c r="M1287" s="36"/>
      <c r="Q1287" s="36"/>
    </row>
    <row r="1288" spans="13:17" x14ac:dyDescent="0.25">
      <c r="M1288" s="36"/>
      <c r="Q1288" s="36"/>
    </row>
    <row r="1289" spans="13:17" x14ac:dyDescent="0.25">
      <c r="M1289" s="36"/>
      <c r="Q1289" s="36"/>
    </row>
    <row r="1290" spans="13:17" x14ac:dyDescent="0.25">
      <c r="M1290" s="36"/>
      <c r="Q1290" s="36"/>
    </row>
    <row r="1291" spans="13:17" x14ac:dyDescent="0.25">
      <c r="M1291" s="36"/>
      <c r="Q1291" s="36"/>
    </row>
    <row r="1292" spans="13:17" x14ac:dyDescent="0.25">
      <c r="M1292" s="36"/>
      <c r="Q1292" s="36"/>
    </row>
    <row r="1293" spans="13:17" x14ac:dyDescent="0.25">
      <c r="M1293" s="36"/>
      <c r="Q1293" s="36"/>
    </row>
    <row r="1294" spans="13:17" x14ac:dyDescent="0.25">
      <c r="M1294" s="36"/>
      <c r="Q1294" s="36"/>
    </row>
    <row r="1295" spans="13:17" x14ac:dyDescent="0.25">
      <c r="M1295" s="36"/>
      <c r="Q1295" s="36"/>
    </row>
    <row r="1296" spans="13:17" x14ac:dyDescent="0.25">
      <c r="M1296" s="36"/>
      <c r="Q1296" s="36"/>
    </row>
    <row r="1297" spans="13:17" x14ac:dyDescent="0.25">
      <c r="M1297" s="36"/>
      <c r="Q1297" s="36"/>
    </row>
    <row r="1298" spans="13:17" x14ac:dyDescent="0.25">
      <c r="M1298" s="36"/>
      <c r="Q1298" s="36"/>
    </row>
    <row r="1299" spans="13:17" x14ac:dyDescent="0.25">
      <c r="M1299" s="36"/>
      <c r="Q1299" s="36"/>
    </row>
    <row r="1300" spans="13:17" x14ac:dyDescent="0.25">
      <c r="M1300" s="36"/>
      <c r="Q1300" s="36"/>
    </row>
    <row r="1301" spans="13:17" x14ac:dyDescent="0.25">
      <c r="M1301" s="36"/>
      <c r="Q1301" s="36"/>
    </row>
    <row r="1302" spans="13:17" x14ac:dyDescent="0.25">
      <c r="M1302" s="36"/>
      <c r="Q1302" s="36"/>
    </row>
    <row r="1303" spans="13:17" x14ac:dyDescent="0.25">
      <c r="M1303" s="36"/>
      <c r="Q1303" s="36"/>
    </row>
    <row r="1304" spans="13:17" x14ac:dyDescent="0.25">
      <c r="M1304" s="36"/>
      <c r="Q1304" s="36"/>
    </row>
    <row r="1305" spans="13:17" x14ac:dyDescent="0.25">
      <c r="M1305" s="36"/>
      <c r="Q1305" s="36"/>
    </row>
    <row r="1306" spans="13:17" x14ac:dyDescent="0.25">
      <c r="M1306" s="36"/>
      <c r="Q1306" s="36"/>
    </row>
    <row r="1307" spans="13:17" x14ac:dyDescent="0.25">
      <c r="M1307" s="36"/>
      <c r="Q1307" s="36"/>
    </row>
    <row r="1308" spans="13:17" x14ac:dyDescent="0.25">
      <c r="M1308" s="36"/>
      <c r="Q1308" s="36"/>
    </row>
    <row r="1309" spans="13:17" x14ac:dyDescent="0.25">
      <c r="M1309" s="36"/>
      <c r="Q1309" s="36"/>
    </row>
    <row r="1310" spans="13:17" x14ac:dyDescent="0.25">
      <c r="M1310" s="36"/>
      <c r="Q1310" s="36"/>
    </row>
    <row r="1311" spans="13:17" x14ac:dyDescent="0.25">
      <c r="M1311" s="36"/>
      <c r="Q1311" s="36"/>
    </row>
    <row r="1312" spans="13:17" x14ac:dyDescent="0.25">
      <c r="M1312" s="36"/>
      <c r="Q1312" s="36"/>
    </row>
    <row r="1313" spans="13:17" x14ac:dyDescent="0.25">
      <c r="M1313" s="36"/>
      <c r="Q1313" s="36"/>
    </row>
    <row r="1314" spans="13:17" x14ac:dyDescent="0.25">
      <c r="M1314" s="36"/>
      <c r="Q1314" s="36"/>
    </row>
    <row r="1315" spans="13:17" x14ac:dyDescent="0.25">
      <c r="M1315" s="36"/>
      <c r="Q1315" s="36"/>
    </row>
    <row r="1316" spans="13:17" x14ac:dyDescent="0.25">
      <c r="M1316" s="36"/>
      <c r="Q1316" s="36"/>
    </row>
    <row r="1317" spans="13:17" x14ac:dyDescent="0.25">
      <c r="M1317" s="36"/>
      <c r="Q1317" s="36"/>
    </row>
    <row r="1318" spans="13:17" x14ac:dyDescent="0.25">
      <c r="M1318" s="36"/>
      <c r="Q1318" s="36"/>
    </row>
    <row r="1319" spans="13:17" x14ac:dyDescent="0.25">
      <c r="M1319" s="36"/>
      <c r="Q1319" s="36"/>
    </row>
    <row r="1320" spans="13:17" x14ac:dyDescent="0.25">
      <c r="M1320" s="36"/>
      <c r="Q1320" s="36"/>
    </row>
    <row r="1321" spans="13:17" x14ac:dyDescent="0.25">
      <c r="M1321" s="36"/>
      <c r="Q1321" s="36"/>
    </row>
    <row r="1322" spans="13:17" x14ac:dyDescent="0.25">
      <c r="M1322" s="36"/>
      <c r="Q1322" s="36"/>
    </row>
    <row r="1323" spans="13:17" x14ac:dyDescent="0.25">
      <c r="M1323" s="36"/>
      <c r="Q1323" s="36"/>
    </row>
    <row r="1324" spans="13:17" x14ac:dyDescent="0.25">
      <c r="M1324" s="36"/>
      <c r="Q1324" s="36"/>
    </row>
    <row r="1325" spans="13:17" x14ac:dyDescent="0.25">
      <c r="M1325" s="36"/>
      <c r="Q1325" s="36"/>
    </row>
    <row r="1326" spans="13:17" x14ac:dyDescent="0.25">
      <c r="M1326" s="36"/>
      <c r="Q1326" s="36"/>
    </row>
    <row r="1327" spans="13:17" x14ac:dyDescent="0.25">
      <c r="M1327" s="36"/>
      <c r="Q1327" s="36"/>
    </row>
    <row r="1328" spans="13:17" x14ac:dyDescent="0.25">
      <c r="M1328" s="36"/>
      <c r="Q1328" s="36"/>
    </row>
    <row r="1329" spans="13:17" x14ac:dyDescent="0.25">
      <c r="M1329" s="36"/>
      <c r="Q1329" s="36"/>
    </row>
    <row r="1330" spans="13:17" x14ac:dyDescent="0.25">
      <c r="M1330" s="36"/>
      <c r="Q1330" s="36"/>
    </row>
    <row r="1331" spans="13:17" x14ac:dyDescent="0.25">
      <c r="M1331" s="36"/>
      <c r="Q1331" s="36"/>
    </row>
    <row r="1332" spans="13:17" x14ac:dyDescent="0.25">
      <c r="M1332" s="36"/>
      <c r="Q1332" s="36"/>
    </row>
    <row r="1333" spans="13:17" x14ac:dyDescent="0.25">
      <c r="M1333" s="36"/>
      <c r="Q1333" s="36"/>
    </row>
    <row r="1334" spans="13:17" x14ac:dyDescent="0.25">
      <c r="M1334" s="36"/>
      <c r="Q1334" s="36"/>
    </row>
    <row r="1335" spans="13:17" x14ac:dyDescent="0.25">
      <c r="M1335" s="36"/>
      <c r="Q1335" s="36"/>
    </row>
    <row r="1336" spans="13:17" x14ac:dyDescent="0.25">
      <c r="M1336" s="36"/>
      <c r="Q1336" s="36"/>
    </row>
    <row r="1337" spans="13:17" x14ac:dyDescent="0.25">
      <c r="M1337" s="36"/>
      <c r="Q1337" s="36"/>
    </row>
    <row r="1338" spans="13:17" x14ac:dyDescent="0.25">
      <c r="M1338" s="36"/>
      <c r="Q1338" s="36"/>
    </row>
    <row r="1339" spans="13:17" x14ac:dyDescent="0.25">
      <c r="M1339" s="36"/>
      <c r="Q1339" s="36"/>
    </row>
    <row r="1340" spans="13:17" x14ac:dyDescent="0.25">
      <c r="M1340" s="36"/>
      <c r="Q1340" s="36"/>
    </row>
    <row r="1341" spans="13:17" x14ac:dyDescent="0.25">
      <c r="M1341" s="36"/>
      <c r="Q1341" s="36"/>
    </row>
    <row r="1342" spans="13:17" x14ac:dyDescent="0.25">
      <c r="M1342" s="36"/>
      <c r="Q1342" s="36"/>
    </row>
    <row r="1343" spans="13:17" x14ac:dyDescent="0.25">
      <c r="M1343" s="36"/>
      <c r="Q1343" s="36"/>
    </row>
    <row r="1344" spans="13:17" x14ac:dyDescent="0.25">
      <c r="M1344" s="36"/>
      <c r="Q1344" s="36"/>
    </row>
    <row r="1345" spans="13:17" x14ac:dyDescent="0.25">
      <c r="M1345" s="36"/>
      <c r="Q1345" s="36"/>
    </row>
    <row r="1346" spans="13:17" x14ac:dyDescent="0.25">
      <c r="M1346" s="36"/>
      <c r="Q1346" s="36"/>
    </row>
    <row r="1347" spans="13:17" x14ac:dyDescent="0.25">
      <c r="M1347" s="36"/>
      <c r="Q1347" s="36"/>
    </row>
    <row r="1348" spans="13:17" x14ac:dyDescent="0.25">
      <c r="M1348" s="36"/>
      <c r="Q1348" s="36"/>
    </row>
    <row r="1349" spans="13:17" x14ac:dyDescent="0.25">
      <c r="M1349" s="36"/>
      <c r="Q1349" s="36"/>
    </row>
    <row r="1350" spans="13:17" x14ac:dyDescent="0.25">
      <c r="M1350" s="36"/>
      <c r="Q1350" s="36"/>
    </row>
    <row r="1351" spans="13:17" x14ac:dyDescent="0.25">
      <c r="M1351" s="36"/>
      <c r="Q1351" s="36"/>
    </row>
    <row r="1352" spans="13:17" x14ac:dyDescent="0.25">
      <c r="M1352" s="36"/>
      <c r="Q1352" s="36"/>
    </row>
    <row r="1353" spans="13:17" x14ac:dyDescent="0.25">
      <c r="M1353" s="36"/>
      <c r="Q1353" s="36"/>
    </row>
    <row r="1354" spans="13:17" x14ac:dyDescent="0.25">
      <c r="M1354" s="36"/>
      <c r="Q1354" s="36"/>
    </row>
    <row r="1355" spans="13:17" x14ac:dyDescent="0.25">
      <c r="M1355" s="36"/>
      <c r="Q1355" s="36"/>
    </row>
    <row r="1356" spans="13:17" x14ac:dyDescent="0.25">
      <c r="M1356" s="36"/>
      <c r="Q1356" s="36"/>
    </row>
    <row r="1357" spans="13:17" x14ac:dyDescent="0.25">
      <c r="M1357" s="36"/>
      <c r="Q1357" s="36"/>
    </row>
    <row r="1358" spans="13:17" x14ac:dyDescent="0.25">
      <c r="M1358" s="36"/>
      <c r="Q1358" s="36"/>
    </row>
    <row r="1359" spans="13:17" x14ac:dyDescent="0.25">
      <c r="M1359" s="36"/>
      <c r="Q1359" s="36"/>
    </row>
    <row r="1360" spans="13:17" x14ac:dyDescent="0.25">
      <c r="M1360" s="36"/>
      <c r="Q1360" s="36"/>
    </row>
    <row r="1361" spans="13:17" x14ac:dyDescent="0.25">
      <c r="M1361" s="36"/>
      <c r="Q1361" s="36"/>
    </row>
    <row r="1362" spans="13:17" x14ac:dyDescent="0.25">
      <c r="M1362" s="36"/>
      <c r="Q1362" s="36"/>
    </row>
    <row r="1363" spans="13:17" x14ac:dyDescent="0.25">
      <c r="M1363" s="36"/>
      <c r="Q1363" s="36"/>
    </row>
    <row r="1364" spans="13:17" x14ac:dyDescent="0.25">
      <c r="M1364" s="36"/>
      <c r="Q1364" s="36"/>
    </row>
    <row r="1365" spans="13:17" x14ac:dyDescent="0.25">
      <c r="M1365" s="36"/>
      <c r="Q1365" s="36"/>
    </row>
    <row r="1366" spans="13:17" x14ac:dyDescent="0.25">
      <c r="M1366" s="36"/>
      <c r="Q1366" s="36"/>
    </row>
    <row r="1367" spans="13:17" x14ac:dyDescent="0.25">
      <c r="M1367" s="36"/>
      <c r="Q1367" s="36"/>
    </row>
    <row r="1368" spans="13:17" x14ac:dyDescent="0.25">
      <c r="M1368" s="36"/>
      <c r="Q1368" s="36"/>
    </row>
    <row r="1369" spans="13:17" x14ac:dyDescent="0.25">
      <c r="M1369" s="36"/>
      <c r="Q1369" s="36"/>
    </row>
    <row r="1370" spans="13:17" x14ac:dyDescent="0.25">
      <c r="M1370" s="36"/>
      <c r="Q1370" s="36"/>
    </row>
    <row r="1371" spans="13:17" x14ac:dyDescent="0.25">
      <c r="M1371" s="36"/>
      <c r="Q1371" s="36"/>
    </row>
    <row r="1372" spans="13:17" x14ac:dyDescent="0.25">
      <c r="M1372" s="36"/>
      <c r="Q1372" s="36"/>
    </row>
    <row r="1373" spans="13:17" x14ac:dyDescent="0.25">
      <c r="M1373" s="36"/>
      <c r="Q1373" s="36"/>
    </row>
    <row r="1374" spans="13:17" x14ac:dyDescent="0.25">
      <c r="M1374" s="36"/>
      <c r="Q1374" s="36"/>
    </row>
    <row r="1375" spans="13:17" x14ac:dyDescent="0.25">
      <c r="M1375" s="36"/>
      <c r="Q1375" s="36"/>
    </row>
    <row r="1376" spans="13:17" x14ac:dyDescent="0.25">
      <c r="M1376" s="36"/>
      <c r="Q1376" s="36"/>
    </row>
    <row r="1377" spans="13:17" x14ac:dyDescent="0.25">
      <c r="M1377" s="36"/>
      <c r="Q1377" s="36"/>
    </row>
    <row r="1378" spans="13:17" x14ac:dyDescent="0.25">
      <c r="M1378" s="36"/>
      <c r="Q1378" s="36"/>
    </row>
    <row r="1379" spans="13:17" x14ac:dyDescent="0.25">
      <c r="M1379" s="36"/>
      <c r="Q1379" s="36"/>
    </row>
    <row r="1380" spans="13:17" x14ac:dyDescent="0.25">
      <c r="M1380" s="36"/>
      <c r="Q1380" s="36"/>
    </row>
    <row r="1381" spans="13:17" x14ac:dyDescent="0.25">
      <c r="M1381" s="36"/>
      <c r="Q1381" s="36"/>
    </row>
    <row r="1382" spans="13:17" x14ac:dyDescent="0.25">
      <c r="M1382" s="36"/>
      <c r="Q1382" s="36"/>
    </row>
    <row r="1383" spans="13:17" x14ac:dyDescent="0.25">
      <c r="M1383" s="36"/>
      <c r="Q1383" s="36"/>
    </row>
    <row r="1384" spans="13:17" x14ac:dyDescent="0.25">
      <c r="M1384" s="36"/>
      <c r="Q1384" s="36"/>
    </row>
    <row r="1385" spans="13:17" x14ac:dyDescent="0.25">
      <c r="M1385" s="36"/>
      <c r="Q1385" s="36"/>
    </row>
    <row r="1386" spans="13:17" x14ac:dyDescent="0.25">
      <c r="M1386" s="36"/>
      <c r="Q1386" s="36"/>
    </row>
    <row r="1387" spans="13:17" x14ac:dyDescent="0.25">
      <c r="M1387" s="36"/>
      <c r="Q1387" s="36"/>
    </row>
    <row r="1388" spans="13:17" x14ac:dyDescent="0.25">
      <c r="M1388" s="36"/>
      <c r="Q1388" s="36"/>
    </row>
    <row r="1389" spans="13:17" x14ac:dyDescent="0.25">
      <c r="M1389" s="36"/>
      <c r="Q1389" s="36"/>
    </row>
    <row r="1390" spans="13:17" x14ac:dyDescent="0.25">
      <c r="M1390" s="36"/>
      <c r="Q1390" s="36"/>
    </row>
    <row r="1391" spans="13:17" x14ac:dyDescent="0.25">
      <c r="M1391" s="36"/>
      <c r="Q1391" s="36"/>
    </row>
    <row r="1392" spans="13:17" x14ac:dyDescent="0.25">
      <c r="M1392" s="36"/>
      <c r="Q1392" s="36"/>
    </row>
    <row r="1393" spans="13:17" x14ac:dyDescent="0.25">
      <c r="M1393" s="36"/>
      <c r="Q1393" s="36"/>
    </row>
    <row r="1394" spans="13:17" x14ac:dyDescent="0.25">
      <c r="M1394" s="36"/>
      <c r="Q1394" s="36"/>
    </row>
    <row r="1395" spans="13:17" x14ac:dyDescent="0.25">
      <c r="M1395" s="36"/>
      <c r="Q1395" s="36"/>
    </row>
    <row r="1396" spans="13:17" x14ac:dyDescent="0.25">
      <c r="M1396" s="36"/>
      <c r="Q1396" s="36"/>
    </row>
    <row r="1397" spans="13:17" x14ac:dyDescent="0.25">
      <c r="M1397" s="36"/>
      <c r="Q1397" s="36"/>
    </row>
    <row r="1398" spans="13:17" x14ac:dyDescent="0.25">
      <c r="M1398" s="36"/>
      <c r="Q1398" s="36"/>
    </row>
    <row r="1399" spans="13:17" x14ac:dyDescent="0.25">
      <c r="M1399" s="36"/>
      <c r="Q1399" s="36"/>
    </row>
    <row r="1400" spans="13:17" x14ac:dyDescent="0.25">
      <c r="M1400" s="36"/>
      <c r="Q1400" s="36"/>
    </row>
    <row r="1401" spans="13:17" x14ac:dyDescent="0.25">
      <c r="M1401" s="36"/>
      <c r="Q1401" s="36"/>
    </row>
    <row r="1402" spans="13:17" x14ac:dyDescent="0.25">
      <c r="M1402" s="36"/>
      <c r="Q1402" s="36"/>
    </row>
    <row r="1403" spans="13:17" x14ac:dyDescent="0.25">
      <c r="M1403" s="36"/>
      <c r="Q1403" s="36"/>
    </row>
    <row r="1404" spans="13:17" x14ac:dyDescent="0.25">
      <c r="M1404" s="36"/>
      <c r="Q1404" s="36"/>
    </row>
    <row r="1405" spans="13:17" x14ac:dyDescent="0.25">
      <c r="M1405" s="36"/>
      <c r="Q1405" s="36"/>
    </row>
    <row r="1406" spans="13:17" x14ac:dyDescent="0.25">
      <c r="M1406" s="36"/>
      <c r="Q1406" s="36"/>
    </row>
    <row r="1407" spans="13:17" x14ac:dyDescent="0.25">
      <c r="M1407" s="36"/>
      <c r="Q1407" s="36"/>
    </row>
    <row r="1408" spans="13:17" x14ac:dyDescent="0.25">
      <c r="M1408" s="36"/>
      <c r="Q1408" s="36"/>
    </row>
    <row r="1409" spans="13:17" x14ac:dyDescent="0.25">
      <c r="M1409" s="36"/>
      <c r="Q1409" s="36"/>
    </row>
    <row r="1410" spans="13:17" x14ac:dyDescent="0.25">
      <c r="M1410" s="36"/>
      <c r="Q1410" s="36"/>
    </row>
    <row r="1411" spans="13:17" x14ac:dyDescent="0.25">
      <c r="M1411" s="36"/>
      <c r="Q1411" s="36"/>
    </row>
    <row r="1412" spans="13:17" x14ac:dyDescent="0.25">
      <c r="M1412" s="36"/>
      <c r="Q1412" s="36"/>
    </row>
    <row r="1413" spans="13:17" x14ac:dyDescent="0.25">
      <c r="M1413" s="36"/>
      <c r="Q1413" s="36"/>
    </row>
    <row r="1414" spans="13:17" x14ac:dyDescent="0.25">
      <c r="M1414" s="36"/>
      <c r="Q1414" s="36"/>
    </row>
    <row r="1415" spans="13:17" x14ac:dyDescent="0.25">
      <c r="M1415" s="36"/>
      <c r="Q1415" s="36"/>
    </row>
    <row r="1416" spans="13:17" x14ac:dyDescent="0.25">
      <c r="M1416" s="36"/>
      <c r="Q1416" s="36"/>
    </row>
    <row r="1417" spans="13:17" x14ac:dyDescent="0.25">
      <c r="M1417" s="36"/>
      <c r="Q1417" s="36"/>
    </row>
    <row r="1418" spans="13:17" x14ac:dyDescent="0.25">
      <c r="M1418" s="36"/>
      <c r="Q1418" s="36"/>
    </row>
    <row r="1419" spans="13:17" x14ac:dyDescent="0.25">
      <c r="M1419" s="36"/>
      <c r="Q1419" s="36"/>
    </row>
    <row r="1420" spans="13:17" x14ac:dyDescent="0.25">
      <c r="M1420" s="36"/>
      <c r="Q1420" s="36"/>
    </row>
    <row r="1421" spans="13:17" x14ac:dyDescent="0.25">
      <c r="M1421" s="36"/>
      <c r="Q1421" s="36"/>
    </row>
    <row r="1422" spans="13:17" x14ac:dyDescent="0.25">
      <c r="M1422" s="36"/>
      <c r="Q1422" s="36"/>
    </row>
    <row r="1423" spans="13:17" x14ac:dyDescent="0.25">
      <c r="M1423" s="36"/>
      <c r="Q1423" s="36"/>
    </row>
    <row r="1424" spans="13:17" x14ac:dyDescent="0.25">
      <c r="M1424" s="36"/>
      <c r="Q1424" s="36"/>
    </row>
    <row r="1425" spans="13:17" x14ac:dyDescent="0.25">
      <c r="M1425" s="36"/>
      <c r="Q1425" s="36"/>
    </row>
    <row r="1426" spans="13:17" x14ac:dyDescent="0.25">
      <c r="M1426" s="36"/>
      <c r="Q1426" s="36"/>
    </row>
    <row r="1427" spans="13:17" x14ac:dyDescent="0.25">
      <c r="M1427" s="36"/>
      <c r="Q1427" s="36"/>
    </row>
    <row r="1428" spans="13:17" x14ac:dyDescent="0.25">
      <c r="M1428" s="36"/>
      <c r="Q1428" s="36"/>
    </row>
    <row r="1429" spans="13:17" x14ac:dyDescent="0.25">
      <c r="M1429" s="36"/>
      <c r="Q1429" s="36"/>
    </row>
    <row r="1430" spans="13:17" x14ac:dyDescent="0.25">
      <c r="M1430" s="36"/>
      <c r="Q1430" s="36"/>
    </row>
    <row r="1431" spans="13:17" x14ac:dyDescent="0.25">
      <c r="M1431" s="36"/>
      <c r="Q1431" s="36"/>
    </row>
    <row r="1432" spans="13:17" x14ac:dyDescent="0.25">
      <c r="M1432" s="36"/>
      <c r="Q1432" s="36"/>
    </row>
    <row r="1433" spans="13:17" x14ac:dyDescent="0.25">
      <c r="M1433" s="36"/>
      <c r="Q1433" s="36"/>
    </row>
    <row r="1434" spans="13:17" x14ac:dyDescent="0.25">
      <c r="M1434" s="36"/>
      <c r="Q1434" s="36"/>
    </row>
    <row r="1435" spans="13:17" x14ac:dyDescent="0.25">
      <c r="M1435" s="36"/>
      <c r="Q1435" s="36"/>
    </row>
    <row r="1436" spans="13:17" x14ac:dyDescent="0.25">
      <c r="M1436" s="36"/>
      <c r="Q1436" s="36"/>
    </row>
    <row r="1437" spans="13:17" x14ac:dyDescent="0.25">
      <c r="M1437" s="36"/>
      <c r="Q1437" s="36"/>
    </row>
    <row r="1438" spans="13:17" x14ac:dyDescent="0.25">
      <c r="M1438" s="36"/>
      <c r="Q1438" s="36"/>
    </row>
    <row r="1439" spans="13:17" x14ac:dyDescent="0.25">
      <c r="M1439" s="36"/>
      <c r="Q1439" s="36"/>
    </row>
    <row r="1440" spans="13:17" x14ac:dyDescent="0.25">
      <c r="M1440" s="36"/>
      <c r="Q1440" s="36"/>
    </row>
    <row r="1441" spans="13:17" x14ac:dyDescent="0.25">
      <c r="M1441" s="36"/>
      <c r="Q1441" s="36"/>
    </row>
    <row r="1442" spans="13:17" x14ac:dyDescent="0.25">
      <c r="M1442" s="36"/>
      <c r="Q1442" s="36"/>
    </row>
    <row r="1443" spans="13:17" x14ac:dyDescent="0.25">
      <c r="M1443" s="36"/>
      <c r="Q1443" s="36"/>
    </row>
    <row r="1444" spans="13:17" x14ac:dyDescent="0.25">
      <c r="M1444" s="36"/>
      <c r="Q1444" s="36"/>
    </row>
    <row r="1445" spans="13:17" x14ac:dyDescent="0.25">
      <c r="M1445" s="36"/>
      <c r="Q1445" s="36"/>
    </row>
    <row r="1446" spans="13:17" x14ac:dyDescent="0.25">
      <c r="M1446" s="36"/>
      <c r="Q1446" s="36"/>
    </row>
    <row r="1447" spans="13:17" x14ac:dyDescent="0.25">
      <c r="M1447" s="36"/>
      <c r="Q1447" s="36"/>
    </row>
    <row r="1448" spans="13:17" x14ac:dyDescent="0.25">
      <c r="M1448" s="36"/>
      <c r="Q1448" s="36"/>
    </row>
    <row r="1449" spans="13:17" x14ac:dyDescent="0.25">
      <c r="M1449" s="36"/>
      <c r="Q1449" s="36"/>
    </row>
    <row r="1450" spans="13:17" x14ac:dyDescent="0.25">
      <c r="M1450" s="36"/>
      <c r="Q1450" s="36"/>
    </row>
    <row r="1451" spans="13:17" x14ac:dyDescent="0.25">
      <c r="M1451" s="36"/>
      <c r="Q1451" s="36"/>
    </row>
    <row r="1452" spans="13:17" x14ac:dyDescent="0.25">
      <c r="M1452" s="36"/>
      <c r="Q1452" s="36"/>
    </row>
    <row r="1453" spans="13:17" x14ac:dyDescent="0.25">
      <c r="M1453" s="36"/>
      <c r="Q1453" s="36"/>
    </row>
    <row r="1454" spans="13:17" x14ac:dyDescent="0.25">
      <c r="M1454" s="36"/>
      <c r="Q1454" s="36"/>
    </row>
    <row r="1455" spans="13:17" x14ac:dyDescent="0.25">
      <c r="M1455" s="36"/>
      <c r="Q1455" s="36"/>
    </row>
    <row r="1456" spans="13:17" x14ac:dyDescent="0.25">
      <c r="M1456" s="36"/>
      <c r="Q1456" s="36"/>
    </row>
    <row r="1457" spans="13:17" x14ac:dyDescent="0.25">
      <c r="M1457" s="36"/>
      <c r="Q1457" s="36"/>
    </row>
    <row r="1458" spans="13:17" x14ac:dyDescent="0.25">
      <c r="M1458" s="36"/>
      <c r="Q1458" s="36"/>
    </row>
    <row r="1459" spans="13:17" x14ac:dyDescent="0.25">
      <c r="M1459" s="36"/>
      <c r="Q1459" s="36"/>
    </row>
    <row r="1460" spans="13:17" x14ac:dyDescent="0.25">
      <c r="M1460" s="36"/>
      <c r="Q1460" s="36"/>
    </row>
    <row r="1461" spans="13:17" x14ac:dyDescent="0.25">
      <c r="M1461" s="36"/>
      <c r="Q1461" s="36"/>
    </row>
    <row r="1462" spans="13:17" x14ac:dyDescent="0.25">
      <c r="M1462" s="36"/>
      <c r="Q1462" s="36"/>
    </row>
    <row r="1463" spans="13:17" x14ac:dyDescent="0.25">
      <c r="M1463" s="36"/>
      <c r="Q1463" s="36"/>
    </row>
    <row r="1464" spans="13:17" x14ac:dyDescent="0.25">
      <c r="M1464" s="36"/>
      <c r="Q1464" s="36"/>
    </row>
    <row r="1465" spans="13:17" x14ac:dyDescent="0.25">
      <c r="M1465" s="36"/>
      <c r="Q1465" s="36"/>
    </row>
    <row r="1466" spans="13:17" x14ac:dyDescent="0.25">
      <c r="M1466" s="36"/>
      <c r="Q1466" s="36"/>
    </row>
    <row r="1467" spans="13:17" x14ac:dyDescent="0.25">
      <c r="M1467" s="36"/>
      <c r="Q1467" s="36"/>
    </row>
    <row r="1468" spans="13:17" x14ac:dyDescent="0.25">
      <c r="M1468" s="36"/>
      <c r="Q1468" s="36"/>
    </row>
    <row r="1469" spans="13:17" x14ac:dyDescent="0.25">
      <c r="M1469" s="36"/>
      <c r="Q1469" s="36"/>
    </row>
    <row r="1470" spans="13:17" x14ac:dyDescent="0.25">
      <c r="M1470" s="36"/>
      <c r="Q1470" s="36"/>
    </row>
    <row r="1471" spans="13:17" x14ac:dyDescent="0.25">
      <c r="M1471" s="36"/>
      <c r="Q1471" s="36"/>
    </row>
    <row r="1472" spans="13:17" x14ac:dyDescent="0.25">
      <c r="M1472" s="36"/>
      <c r="Q1472" s="36"/>
    </row>
    <row r="1473" spans="13:17" x14ac:dyDescent="0.25">
      <c r="M1473" s="36"/>
      <c r="Q1473" s="36"/>
    </row>
    <row r="1474" spans="13:17" x14ac:dyDescent="0.25">
      <c r="M1474" s="36"/>
      <c r="Q1474" s="36"/>
    </row>
    <row r="1475" spans="13:17" x14ac:dyDescent="0.25">
      <c r="M1475" s="36"/>
      <c r="Q1475" s="36"/>
    </row>
    <row r="1476" spans="13:17" x14ac:dyDescent="0.25">
      <c r="M1476" s="36"/>
      <c r="Q1476" s="36"/>
    </row>
    <row r="1477" spans="13:17" x14ac:dyDescent="0.25">
      <c r="M1477" s="36"/>
      <c r="Q1477" s="36"/>
    </row>
    <row r="1478" spans="13:17" x14ac:dyDescent="0.25">
      <c r="M1478" s="36"/>
      <c r="Q1478" s="36"/>
    </row>
    <row r="1479" spans="13:17" x14ac:dyDescent="0.25">
      <c r="M1479" s="36"/>
      <c r="Q1479" s="36"/>
    </row>
    <row r="1480" spans="13:17" x14ac:dyDescent="0.25">
      <c r="M1480" s="36"/>
      <c r="Q1480" s="36"/>
    </row>
    <row r="1481" spans="13:17" x14ac:dyDescent="0.25">
      <c r="M1481" s="36"/>
      <c r="Q1481" s="36"/>
    </row>
    <row r="1482" spans="13:17" x14ac:dyDescent="0.25">
      <c r="M1482" s="36"/>
      <c r="Q1482" s="36"/>
    </row>
    <row r="1483" spans="13:17" x14ac:dyDescent="0.25">
      <c r="M1483" s="36"/>
      <c r="Q1483" s="36"/>
    </row>
    <row r="1484" spans="13:17" x14ac:dyDescent="0.25">
      <c r="M1484" s="36"/>
      <c r="Q1484" s="36"/>
    </row>
    <row r="1485" spans="13:17" x14ac:dyDescent="0.25">
      <c r="M1485" s="36"/>
      <c r="Q1485" s="36"/>
    </row>
    <row r="1486" spans="13:17" x14ac:dyDescent="0.25">
      <c r="M1486" s="36"/>
      <c r="Q1486" s="36"/>
    </row>
    <row r="1487" spans="13:17" x14ac:dyDescent="0.25">
      <c r="M1487" s="36"/>
      <c r="Q1487" s="36"/>
    </row>
    <row r="1488" spans="13:17" x14ac:dyDescent="0.25">
      <c r="M1488" s="36"/>
      <c r="Q1488" s="36"/>
    </row>
    <row r="1489" spans="13:17" x14ac:dyDescent="0.25">
      <c r="M1489" s="36"/>
      <c r="Q1489" s="36"/>
    </row>
    <row r="1490" spans="13:17" x14ac:dyDescent="0.25">
      <c r="M1490" s="36"/>
      <c r="Q1490" s="36"/>
    </row>
    <row r="1491" spans="13:17" x14ac:dyDescent="0.25">
      <c r="M1491" s="36"/>
      <c r="Q1491" s="36"/>
    </row>
    <row r="1492" spans="13:17" x14ac:dyDescent="0.25">
      <c r="M1492" s="36"/>
      <c r="Q1492" s="36"/>
    </row>
    <row r="1493" spans="13:17" x14ac:dyDescent="0.25">
      <c r="M1493" s="36"/>
      <c r="Q1493" s="36"/>
    </row>
    <row r="1494" spans="13:17" x14ac:dyDescent="0.25">
      <c r="M1494" s="36"/>
      <c r="Q1494" s="36"/>
    </row>
    <row r="1495" spans="13:17" x14ac:dyDescent="0.25">
      <c r="M1495" s="36"/>
      <c r="Q1495" s="36"/>
    </row>
    <row r="1496" spans="13:17" x14ac:dyDescent="0.25">
      <c r="M1496" s="36"/>
      <c r="Q1496" s="36"/>
    </row>
    <row r="1497" spans="13:17" x14ac:dyDescent="0.25">
      <c r="M1497" s="36"/>
      <c r="Q1497" s="36"/>
    </row>
    <row r="1498" spans="13:17" x14ac:dyDescent="0.25">
      <c r="M1498" s="36"/>
      <c r="Q1498" s="36"/>
    </row>
    <row r="1499" spans="13:17" x14ac:dyDescent="0.25">
      <c r="M1499" s="36"/>
      <c r="Q1499" s="36"/>
    </row>
    <row r="1500" spans="13:17" x14ac:dyDescent="0.25">
      <c r="M1500" s="36"/>
      <c r="Q1500" s="36"/>
    </row>
    <row r="1501" spans="13:17" x14ac:dyDescent="0.25">
      <c r="M1501" s="36"/>
      <c r="Q1501" s="36"/>
    </row>
    <row r="1502" spans="13:17" x14ac:dyDescent="0.25">
      <c r="M1502" s="36"/>
      <c r="Q1502" s="36"/>
    </row>
    <row r="1503" spans="13:17" x14ac:dyDescent="0.25">
      <c r="M1503" s="36"/>
      <c r="Q1503" s="36"/>
    </row>
    <row r="1504" spans="13:17" x14ac:dyDescent="0.25">
      <c r="M1504" s="36"/>
      <c r="Q1504" s="36"/>
    </row>
    <row r="1505" spans="13:17" x14ac:dyDescent="0.25">
      <c r="M1505" s="36"/>
      <c r="Q1505" s="36"/>
    </row>
    <row r="1506" spans="13:17" x14ac:dyDescent="0.25">
      <c r="M1506" s="36"/>
      <c r="Q1506" s="36"/>
    </row>
    <row r="1507" spans="13:17" x14ac:dyDescent="0.25">
      <c r="M1507" s="36"/>
      <c r="Q1507" s="36"/>
    </row>
    <row r="1508" spans="13:17" x14ac:dyDescent="0.25">
      <c r="M1508" s="36"/>
      <c r="Q1508" s="36"/>
    </row>
    <row r="1509" spans="13:17" x14ac:dyDescent="0.25">
      <c r="M1509" s="36"/>
      <c r="Q1509" s="36"/>
    </row>
    <row r="1510" spans="13:17" x14ac:dyDescent="0.25">
      <c r="M1510" s="36"/>
      <c r="Q1510" s="36"/>
    </row>
    <row r="1511" spans="13:17" x14ac:dyDescent="0.25">
      <c r="M1511" s="36"/>
      <c r="Q1511" s="36"/>
    </row>
    <row r="1512" spans="13:17" x14ac:dyDescent="0.25">
      <c r="M1512" s="36"/>
      <c r="Q1512" s="36"/>
    </row>
    <row r="1513" spans="13:17" x14ac:dyDescent="0.25">
      <c r="M1513" s="36"/>
      <c r="Q1513" s="36"/>
    </row>
    <row r="1514" spans="13:17" x14ac:dyDescent="0.25">
      <c r="M1514" s="36"/>
      <c r="Q1514" s="36"/>
    </row>
    <row r="1515" spans="13:17" x14ac:dyDescent="0.25">
      <c r="M1515" s="36"/>
      <c r="Q1515" s="36"/>
    </row>
    <row r="1516" spans="13:17" x14ac:dyDescent="0.25">
      <c r="M1516" s="36"/>
      <c r="Q1516" s="36"/>
    </row>
    <row r="1517" spans="13:17" x14ac:dyDescent="0.25">
      <c r="M1517" s="36"/>
      <c r="Q1517" s="36"/>
    </row>
    <row r="1518" spans="13:17" x14ac:dyDescent="0.25">
      <c r="M1518" s="36"/>
      <c r="Q1518" s="36"/>
    </row>
    <row r="1519" spans="13:17" x14ac:dyDescent="0.25">
      <c r="M1519" s="36"/>
      <c r="Q1519" s="36"/>
    </row>
    <row r="1520" spans="13:17" x14ac:dyDescent="0.25">
      <c r="M1520" s="36"/>
      <c r="Q1520" s="36"/>
    </row>
    <row r="1521" spans="13:17" x14ac:dyDescent="0.25">
      <c r="M1521" s="36"/>
      <c r="Q1521" s="36"/>
    </row>
    <row r="1522" spans="13:17" x14ac:dyDescent="0.25">
      <c r="M1522" s="36"/>
      <c r="Q1522" s="36"/>
    </row>
    <row r="1523" spans="13:17" x14ac:dyDescent="0.25">
      <c r="M1523" s="36"/>
      <c r="Q1523" s="36"/>
    </row>
    <row r="1524" spans="13:17" x14ac:dyDescent="0.25">
      <c r="M1524" s="36"/>
      <c r="Q1524" s="36"/>
    </row>
    <row r="1525" spans="13:17" x14ac:dyDescent="0.25">
      <c r="M1525" s="36"/>
      <c r="Q1525" s="36"/>
    </row>
    <row r="1526" spans="13:17" x14ac:dyDescent="0.25">
      <c r="M1526" s="36"/>
      <c r="Q1526" s="36"/>
    </row>
    <row r="1527" spans="13:17" x14ac:dyDescent="0.25">
      <c r="M1527" s="36"/>
      <c r="Q1527" s="36"/>
    </row>
    <row r="1528" spans="13:17" x14ac:dyDescent="0.25">
      <c r="M1528" s="36"/>
      <c r="Q1528" s="36"/>
    </row>
    <row r="1529" spans="13:17" x14ac:dyDescent="0.25">
      <c r="M1529" s="36"/>
      <c r="Q1529" s="36"/>
    </row>
    <row r="1530" spans="13:17" x14ac:dyDescent="0.25">
      <c r="M1530" s="36"/>
      <c r="Q1530" s="36"/>
    </row>
    <row r="1531" spans="13:17" x14ac:dyDescent="0.25">
      <c r="M1531" s="36"/>
      <c r="Q1531" s="36"/>
    </row>
    <row r="1532" spans="13:17" x14ac:dyDescent="0.25">
      <c r="M1532" s="36"/>
      <c r="Q1532" s="36"/>
    </row>
    <row r="1533" spans="13:17" x14ac:dyDescent="0.25">
      <c r="M1533" s="36"/>
      <c r="Q1533" s="36"/>
    </row>
    <row r="1534" spans="13:17" x14ac:dyDescent="0.25">
      <c r="M1534" s="36"/>
      <c r="Q1534" s="36"/>
    </row>
    <row r="1535" spans="13:17" x14ac:dyDescent="0.25">
      <c r="M1535" s="36"/>
      <c r="Q1535" s="36"/>
    </row>
    <row r="1536" spans="13:17" x14ac:dyDescent="0.25">
      <c r="M1536" s="36"/>
      <c r="Q1536" s="36"/>
    </row>
    <row r="1537" spans="13:17" x14ac:dyDescent="0.25">
      <c r="M1537" s="36"/>
      <c r="Q1537" s="36"/>
    </row>
    <row r="1538" spans="13:17" x14ac:dyDescent="0.25">
      <c r="M1538" s="36"/>
      <c r="Q1538" s="36"/>
    </row>
    <row r="1539" spans="13:17" x14ac:dyDescent="0.25">
      <c r="M1539" s="36"/>
      <c r="Q1539" s="36"/>
    </row>
    <row r="1540" spans="13:17" x14ac:dyDescent="0.25">
      <c r="M1540" s="36"/>
      <c r="Q1540" s="36"/>
    </row>
    <row r="1541" spans="13:17" x14ac:dyDescent="0.25">
      <c r="M1541" s="36"/>
      <c r="Q1541" s="36"/>
    </row>
    <row r="1542" spans="13:17" x14ac:dyDescent="0.25">
      <c r="M1542" s="36"/>
      <c r="Q1542" s="36"/>
    </row>
    <row r="1543" spans="13:17" x14ac:dyDescent="0.25">
      <c r="M1543" s="36"/>
      <c r="Q1543" s="36"/>
    </row>
    <row r="1544" spans="13:17" x14ac:dyDescent="0.25">
      <c r="M1544" s="36"/>
      <c r="Q1544" s="36"/>
    </row>
    <row r="1545" spans="13:17" x14ac:dyDescent="0.25">
      <c r="M1545" s="36"/>
      <c r="Q1545" s="36"/>
    </row>
    <row r="1546" spans="13:17" x14ac:dyDescent="0.25">
      <c r="M1546" s="36"/>
      <c r="Q1546" s="36"/>
    </row>
    <row r="1547" spans="13:17" x14ac:dyDescent="0.25">
      <c r="M1547" s="36"/>
      <c r="Q1547" s="36"/>
    </row>
    <row r="1548" spans="13:17" x14ac:dyDescent="0.25">
      <c r="M1548" s="36"/>
      <c r="Q1548" s="36"/>
    </row>
    <row r="1549" spans="13:17" x14ac:dyDescent="0.25">
      <c r="M1549" s="36"/>
      <c r="Q1549" s="36"/>
    </row>
    <row r="1550" spans="13:17" x14ac:dyDescent="0.25">
      <c r="M1550" s="36"/>
      <c r="Q1550" s="36"/>
    </row>
    <row r="1551" spans="13:17" x14ac:dyDescent="0.25">
      <c r="M1551" s="36"/>
      <c r="Q1551" s="36"/>
    </row>
    <row r="1552" spans="13:17" x14ac:dyDescent="0.25">
      <c r="M1552" s="36"/>
      <c r="Q1552" s="36"/>
    </row>
    <row r="1553" spans="13:17" x14ac:dyDescent="0.25">
      <c r="M1553" s="36"/>
      <c r="Q1553" s="36"/>
    </row>
    <row r="1554" spans="13:17" x14ac:dyDescent="0.25">
      <c r="M1554" s="36"/>
      <c r="Q1554" s="36"/>
    </row>
    <row r="1555" spans="13:17" x14ac:dyDescent="0.25">
      <c r="M1555" s="36"/>
      <c r="Q1555" s="36"/>
    </row>
    <row r="1556" spans="13:17" x14ac:dyDescent="0.25">
      <c r="M1556" s="36"/>
      <c r="Q1556" s="36"/>
    </row>
    <row r="1557" spans="13:17" x14ac:dyDescent="0.25">
      <c r="M1557" s="36"/>
      <c r="Q1557" s="36"/>
    </row>
    <row r="1558" spans="13:17" x14ac:dyDescent="0.25">
      <c r="M1558" s="36"/>
      <c r="Q1558" s="36"/>
    </row>
    <row r="1559" spans="13:17" x14ac:dyDescent="0.25">
      <c r="M1559" s="36"/>
      <c r="Q1559" s="36"/>
    </row>
    <row r="1560" spans="13:17" x14ac:dyDescent="0.25">
      <c r="M1560" s="36"/>
      <c r="Q1560" s="36"/>
    </row>
    <row r="1561" spans="13:17" x14ac:dyDescent="0.25">
      <c r="M1561" s="36"/>
      <c r="Q1561" s="36"/>
    </row>
    <row r="1562" spans="13:17" x14ac:dyDescent="0.25">
      <c r="M1562" s="36"/>
      <c r="Q1562" s="36"/>
    </row>
    <row r="1563" spans="13:17" x14ac:dyDescent="0.25">
      <c r="M1563" s="36"/>
      <c r="Q1563" s="36"/>
    </row>
    <row r="1564" spans="13:17" x14ac:dyDescent="0.25">
      <c r="M1564" s="36"/>
      <c r="Q1564" s="36"/>
    </row>
    <row r="1565" spans="13:17" x14ac:dyDescent="0.25">
      <c r="M1565" s="36"/>
      <c r="Q1565" s="36"/>
    </row>
    <row r="1566" spans="13:17" x14ac:dyDescent="0.25">
      <c r="M1566" s="36"/>
      <c r="Q1566" s="36"/>
    </row>
    <row r="1567" spans="13:17" x14ac:dyDescent="0.25">
      <c r="M1567" s="36"/>
      <c r="Q1567" s="36"/>
    </row>
    <row r="1568" spans="13:17" x14ac:dyDescent="0.25">
      <c r="M1568" s="36"/>
      <c r="Q1568" s="36"/>
    </row>
    <row r="1569" spans="13:17" x14ac:dyDescent="0.25">
      <c r="M1569" s="36"/>
      <c r="Q1569" s="36"/>
    </row>
    <row r="1570" spans="13:17" x14ac:dyDescent="0.25">
      <c r="M1570" s="36"/>
      <c r="Q1570" s="36"/>
    </row>
    <row r="1571" spans="13:17" x14ac:dyDescent="0.25">
      <c r="M1571" s="36"/>
      <c r="Q1571" s="36"/>
    </row>
    <row r="1572" spans="13:17" x14ac:dyDescent="0.25">
      <c r="M1572" s="36"/>
      <c r="Q1572" s="36"/>
    </row>
    <row r="1573" spans="13:17" x14ac:dyDescent="0.25">
      <c r="M1573" s="36"/>
      <c r="Q1573" s="36"/>
    </row>
    <row r="1574" spans="13:17" x14ac:dyDescent="0.25">
      <c r="M1574" s="36"/>
      <c r="Q1574" s="36"/>
    </row>
    <row r="1575" spans="13:17" x14ac:dyDescent="0.25">
      <c r="M1575" s="36"/>
      <c r="Q1575" s="36"/>
    </row>
    <row r="1576" spans="13:17" x14ac:dyDescent="0.25">
      <c r="M1576" s="36"/>
      <c r="Q1576" s="36"/>
    </row>
    <row r="1577" spans="13:17" x14ac:dyDescent="0.25">
      <c r="M1577" s="36"/>
      <c r="Q1577" s="36"/>
    </row>
    <row r="1578" spans="13:17" x14ac:dyDescent="0.25">
      <c r="M1578" s="36"/>
      <c r="Q1578" s="36"/>
    </row>
    <row r="1579" spans="13:17" x14ac:dyDescent="0.25">
      <c r="M1579" s="36"/>
      <c r="Q1579" s="36"/>
    </row>
    <row r="1580" spans="13:17" x14ac:dyDescent="0.25">
      <c r="M1580" s="36"/>
      <c r="Q1580" s="36"/>
    </row>
    <row r="1581" spans="13:17" x14ac:dyDescent="0.25">
      <c r="M1581" s="36"/>
      <c r="Q1581" s="36"/>
    </row>
    <row r="1582" spans="13:17" x14ac:dyDescent="0.25">
      <c r="M1582" s="36"/>
      <c r="Q1582" s="36"/>
    </row>
    <row r="1583" spans="13:17" x14ac:dyDescent="0.25">
      <c r="M1583" s="36"/>
      <c r="Q1583" s="36"/>
    </row>
    <row r="1584" spans="13:17" x14ac:dyDescent="0.25">
      <c r="M1584" s="36"/>
      <c r="Q1584" s="36"/>
    </row>
    <row r="1585" spans="13:17" x14ac:dyDescent="0.25">
      <c r="M1585" s="36"/>
      <c r="Q1585" s="36"/>
    </row>
    <row r="1586" spans="13:17" x14ac:dyDescent="0.25">
      <c r="M1586" s="36"/>
      <c r="Q1586" s="36"/>
    </row>
    <row r="1587" spans="13:17" x14ac:dyDescent="0.25">
      <c r="M1587" s="36"/>
      <c r="Q1587" s="36"/>
    </row>
    <row r="1588" spans="13:17" x14ac:dyDescent="0.25">
      <c r="M1588" s="36"/>
      <c r="Q1588" s="36"/>
    </row>
    <row r="1589" spans="13:17" x14ac:dyDescent="0.25">
      <c r="M1589" s="36"/>
      <c r="Q1589" s="36"/>
    </row>
    <row r="1590" spans="13:17" x14ac:dyDescent="0.25">
      <c r="M1590" s="36"/>
      <c r="Q1590" s="36"/>
    </row>
    <row r="1591" spans="13:17" x14ac:dyDescent="0.25">
      <c r="M1591" s="36"/>
      <c r="Q1591" s="36"/>
    </row>
    <row r="1592" spans="13:17" x14ac:dyDescent="0.25">
      <c r="M1592" s="36"/>
      <c r="Q1592" s="36"/>
    </row>
    <row r="1593" spans="13:17" x14ac:dyDescent="0.25">
      <c r="M1593" s="36"/>
      <c r="Q1593" s="36"/>
    </row>
    <row r="1594" spans="13:17" x14ac:dyDescent="0.25">
      <c r="M1594" s="36"/>
      <c r="Q1594" s="36"/>
    </row>
    <row r="1595" spans="13:17" x14ac:dyDescent="0.25">
      <c r="M1595" s="36"/>
      <c r="Q1595" s="36"/>
    </row>
    <row r="1596" spans="13:17" x14ac:dyDescent="0.25">
      <c r="M1596" s="36"/>
      <c r="Q1596" s="36"/>
    </row>
    <row r="1597" spans="13:17" x14ac:dyDescent="0.25">
      <c r="M1597" s="36"/>
      <c r="Q1597" s="36"/>
    </row>
    <row r="1598" spans="13:17" x14ac:dyDescent="0.25">
      <c r="M1598" s="36"/>
      <c r="Q1598" s="36"/>
    </row>
    <row r="1599" spans="13:17" x14ac:dyDescent="0.25">
      <c r="M1599" s="36"/>
      <c r="Q1599" s="36"/>
    </row>
    <row r="1600" spans="13:17" x14ac:dyDescent="0.25">
      <c r="M1600" s="36"/>
      <c r="Q1600" s="36"/>
    </row>
    <row r="1601" spans="13:17" x14ac:dyDescent="0.25">
      <c r="M1601" s="36"/>
      <c r="Q1601" s="36"/>
    </row>
    <row r="1602" spans="13:17" x14ac:dyDescent="0.25">
      <c r="M1602" s="36"/>
      <c r="Q1602" s="36"/>
    </row>
    <row r="1603" spans="13:17" x14ac:dyDescent="0.25">
      <c r="M1603" s="36"/>
      <c r="Q1603" s="36"/>
    </row>
    <row r="1604" spans="13:17" x14ac:dyDescent="0.25">
      <c r="M1604" s="36"/>
      <c r="Q1604" s="36"/>
    </row>
    <row r="1605" spans="13:17" x14ac:dyDescent="0.25">
      <c r="M1605" s="36"/>
      <c r="Q1605" s="36"/>
    </row>
    <row r="1606" spans="13:17" x14ac:dyDescent="0.25">
      <c r="M1606" s="36"/>
      <c r="Q1606" s="36"/>
    </row>
    <row r="1607" spans="13:17" x14ac:dyDescent="0.25">
      <c r="M1607" s="36"/>
      <c r="Q1607" s="36"/>
    </row>
    <row r="1608" spans="13:17" x14ac:dyDescent="0.25">
      <c r="M1608" s="36"/>
      <c r="Q1608" s="36"/>
    </row>
    <row r="1609" spans="13:17" x14ac:dyDescent="0.25">
      <c r="M1609" s="36"/>
      <c r="Q1609" s="36"/>
    </row>
    <row r="1610" spans="13:17" x14ac:dyDescent="0.25">
      <c r="M1610" s="36"/>
      <c r="Q1610" s="36"/>
    </row>
    <row r="1611" spans="13:17" x14ac:dyDescent="0.25">
      <c r="M1611" s="36"/>
      <c r="Q1611" s="36"/>
    </row>
    <row r="1612" spans="13:17" x14ac:dyDescent="0.25">
      <c r="M1612" s="36"/>
      <c r="Q1612" s="36"/>
    </row>
    <row r="1613" spans="13:17" x14ac:dyDescent="0.25">
      <c r="M1613" s="36"/>
      <c r="Q1613" s="36"/>
    </row>
    <row r="1614" spans="13:17" x14ac:dyDescent="0.25">
      <c r="M1614" s="36"/>
      <c r="Q1614" s="36"/>
    </row>
    <row r="1615" spans="13:17" x14ac:dyDescent="0.25">
      <c r="M1615" s="36"/>
      <c r="Q1615" s="36"/>
    </row>
    <row r="1616" spans="13:17" x14ac:dyDescent="0.25">
      <c r="M1616" s="36"/>
      <c r="Q1616" s="36"/>
    </row>
    <row r="1617" spans="13:17" x14ac:dyDescent="0.25">
      <c r="M1617" s="36"/>
      <c r="Q1617" s="36"/>
    </row>
    <row r="1618" spans="13:17" x14ac:dyDescent="0.25">
      <c r="M1618" s="36"/>
      <c r="Q1618" s="36"/>
    </row>
    <row r="1619" spans="13:17" x14ac:dyDescent="0.25">
      <c r="M1619" s="36"/>
      <c r="Q1619" s="36"/>
    </row>
    <row r="1620" spans="13:17" x14ac:dyDescent="0.25">
      <c r="M1620" s="36"/>
      <c r="Q1620" s="36"/>
    </row>
    <row r="1621" spans="13:17" x14ac:dyDescent="0.25">
      <c r="M1621" s="36"/>
      <c r="Q1621" s="36"/>
    </row>
    <row r="1622" spans="13:17" x14ac:dyDescent="0.25">
      <c r="M1622" s="36"/>
      <c r="Q1622" s="36"/>
    </row>
    <row r="1623" spans="13:17" x14ac:dyDescent="0.25">
      <c r="M1623" s="36"/>
      <c r="Q1623" s="36"/>
    </row>
    <row r="1624" spans="13:17" x14ac:dyDescent="0.25">
      <c r="M1624" s="36"/>
      <c r="Q1624" s="36"/>
    </row>
    <row r="1625" spans="13:17" x14ac:dyDescent="0.25">
      <c r="M1625" s="36"/>
      <c r="Q1625" s="36"/>
    </row>
    <row r="1626" spans="13:17" x14ac:dyDescent="0.25">
      <c r="M1626" s="36"/>
      <c r="Q1626" s="36"/>
    </row>
    <row r="1627" spans="13:17" x14ac:dyDescent="0.25">
      <c r="M1627" s="36"/>
      <c r="Q1627" s="36"/>
    </row>
    <row r="1628" spans="13:17" x14ac:dyDescent="0.25">
      <c r="M1628" s="36"/>
      <c r="Q1628" s="36"/>
    </row>
    <row r="1629" spans="13:17" x14ac:dyDescent="0.25">
      <c r="M1629" s="36"/>
      <c r="Q1629" s="36"/>
    </row>
    <row r="1630" spans="13:17" x14ac:dyDescent="0.25">
      <c r="M1630" s="36"/>
      <c r="Q1630" s="36"/>
    </row>
    <row r="1631" spans="13:17" x14ac:dyDescent="0.25">
      <c r="M1631" s="36"/>
      <c r="Q1631" s="36"/>
    </row>
    <row r="1632" spans="13:17" x14ac:dyDescent="0.25">
      <c r="M1632" s="36"/>
      <c r="Q1632" s="36"/>
    </row>
    <row r="1633" spans="13:17" x14ac:dyDescent="0.25">
      <c r="M1633" s="36"/>
      <c r="Q1633" s="36"/>
    </row>
    <row r="1634" spans="13:17" x14ac:dyDescent="0.25">
      <c r="M1634" s="36"/>
      <c r="Q1634" s="36"/>
    </row>
    <row r="1635" spans="13:17" x14ac:dyDescent="0.25">
      <c r="M1635" s="36"/>
      <c r="Q1635" s="36"/>
    </row>
    <row r="1636" spans="13:17" x14ac:dyDescent="0.25">
      <c r="M1636" s="36"/>
      <c r="Q1636" s="36"/>
    </row>
    <row r="1637" spans="13:17" x14ac:dyDescent="0.25">
      <c r="M1637" s="36"/>
      <c r="Q1637" s="36"/>
    </row>
    <row r="1638" spans="13:17" x14ac:dyDescent="0.25">
      <c r="M1638" s="36"/>
      <c r="Q1638" s="36"/>
    </row>
    <row r="1639" spans="13:17" x14ac:dyDescent="0.25">
      <c r="M1639" s="36"/>
      <c r="Q1639" s="36"/>
    </row>
    <row r="1640" spans="13:17" x14ac:dyDescent="0.25">
      <c r="M1640" s="36"/>
      <c r="Q1640" s="36"/>
    </row>
    <row r="1641" spans="13:17" x14ac:dyDescent="0.25">
      <c r="M1641" s="36"/>
      <c r="Q1641" s="36"/>
    </row>
    <row r="1642" spans="13:17" x14ac:dyDescent="0.25">
      <c r="M1642" s="36"/>
      <c r="Q1642" s="36"/>
    </row>
    <row r="1643" spans="13:17" x14ac:dyDescent="0.25">
      <c r="M1643" s="36"/>
      <c r="Q1643" s="36"/>
    </row>
    <row r="1644" spans="13:17" x14ac:dyDescent="0.25">
      <c r="M1644" s="36"/>
      <c r="Q1644" s="36"/>
    </row>
    <row r="1645" spans="13:17" x14ac:dyDescent="0.25">
      <c r="M1645" s="36"/>
      <c r="Q1645" s="36"/>
    </row>
    <row r="1646" spans="13:17" x14ac:dyDescent="0.25">
      <c r="M1646" s="36"/>
      <c r="Q1646" s="36"/>
    </row>
    <row r="1647" spans="13:17" x14ac:dyDescent="0.25">
      <c r="M1647" s="36"/>
      <c r="Q1647" s="36"/>
    </row>
    <row r="1648" spans="13:17" x14ac:dyDescent="0.25">
      <c r="M1648" s="36"/>
      <c r="Q1648" s="36"/>
    </row>
    <row r="1649" spans="13:17" x14ac:dyDescent="0.25">
      <c r="M1649" s="36"/>
      <c r="Q1649" s="36"/>
    </row>
    <row r="1650" spans="13:17" x14ac:dyDescent="0.25">
      <c r="M1650" s="36"/>
      <c r="Q1650" s="36"/>
    </row>
    <row r="1651" spans="13:17" x14ac:dyDescent="0.25">
      <c r="M1651" s="36"/>
      <c r="Q1651" s="36"/>
    </row>
    <row r="1652" spans="13:17" x14ac:dyDescent="0.25">
      <c r="M1652" s="36"/>
      <c r="Q1652" s="36"/>
    </row>
    <row r="1653" spans="13:17" x14ac:dyDescent="0.25">
      <c r="M1653" s="36"/>
      <c r="Q1653" s="36"/>
    </row>
    <row r="1654" spans="13:17" x14ac:dyDescent="0.25">
      <c r="M1654" s="36"/>
      <c r="Q1654" s="36"/>
    </row>
    <row r="1655" spans="13:17" x14ac:dyDescent="0.25">
      <c r="M1655" s="36"/>
      <c r="Q1655" s="36"/>
    </row>
    <row r="1656" spans="13:17" x14ac:dyDescent="0.25">
      <c r="M1656" s="36"/>
      <c r="Q1656" s="36"/>
    </row>
    <row r="1657" spans="13:17" x14ac:dyDescent="0.25">
      <c r="M1657" s="36"/>
      <c r="Q1657" s="36"/>
    </row>
    <row r="1658" spans="13:17" x14ac:dyDescent="0.25">
      <c r="M1658" s="36"/>
      <c r="Q1658" s="36"/>
    </row>
    <row r="1659" spans="13:17" x14ac:dyDescent="0.25">
      <c r="M1659" s="36"/>
      <c r="Q1659" s="36"/>
    </row>
    <row r="1660" spans="13:17" x14ac:dyDescent="0.25">
      <c r="M1660" s="36"/>
      <c r="Q1660" s="36"/>
    </row>
    <row r="1661" spans="13:17" x14ac:dyDescent="0.25">
      <c r="M1661" s="36"/>
      <c r="Q1661" s="36"/>
    </row>
    <row r="1662" spans="13:17" x14ac:dyDescent="0.25">
      <c r="M1662" s="36"/>
      <c r="Q1662" s="36"/>
    </row>
    <row r="1663" spans="13:17" x14ac:dyDescent="0.25">
      <c r="M1663" s="36"/>
      <c r="Q1663" s="36"/>
    </row>
    <row r="1664" spans="13:17" x14ac:dyDescent="0.25">
      <c r="M1664" s="36"/>
      <c r="Q1664" s="36"/>
    </row>
    <row r="1665" spans="13:17" x14ac:dyDescent="0.25">
      <c r="M1665" s="36"/>
      <c r="Q1665" s="36"/>
    </row>
    <row r="1666" spans="13:17" x14ac:dyDescent="0.25">
      <c r="M1666" s="36"/>
      <c r="Q1666" s="36"/>
    </row>
    <row r="1667" spans="13:17" x14ac:dyDescent="0.25">
      <c r="M1667" s="36"/>
      <c r="Q1667" s="36"/>
    </row>
    <row r="1668" spans="13:17" x14ac:dyDescent="0.25">
      <c r="M1668" s="36"/>
      <c r="Q1668" s="36"/>
    </row>
    <row r="1669" spans="13:17" x14ac:dyDescent="0.25">
      <c r="M1669" s="36"/>
      <c r="Q1669" s="36"/>
    </row>
    <row r="1670" spans="13:17" x14ac:dyDescent="0.25">
      <c r="M1670" s="36"/>
      <c r="Q1670" s="36"/>
    </row>
    <row r="1671" spans="13:17" x14ac:dyDescent="0.25">
      <c r="M1671" s="36"/>
      <c r="Q1671" s="36"/>
    </row>
    <row r="1672" spans="13:17" x14ac:dyDescent="0.25">
      <c r="M1672" s="36"/>
      <c r="Q1672" s="36"/>
    </row>
    <row r="1673" spans="13:17" x14ac:dyDescent="0.25">
      <c r="M1673" s="36"/>
      <c r="Q1673" s="36"/>
    </row>
    <row r="1674" spans="13:17" x14ac:dyDescent="0.25">
      <c r="M1674" s="36"/>
      <c r="Q1674" s="36"/>
    </row>
    <row r="1675" spans="13:17" x14ac:dyDescent="0.25">
      <c r="M1675" s="36"/>
      <c r="Q1675" s="36"/>
    </row>
    <row r="1676" spans="13:17" x14ac:dyDescent="0.25">
      <c r="M1676" s="36"/>
      <c r="Q1676" s="36"/>
    </row>
    <row r="1677" spans="13:17" x14ac:dyDescent="0.25">
      <c r="M1677" s="36"/>
      <c r="Q1677" s="36"/>
    </row>
    <row r="1678" spans="13:17" x14ac:dyDescent="0.25">
      <c r="M1678" s="36"/>
      <c r="Q1678" s="36"/>
    </row>
    <row r="1679" spans="13:17" x14ac:dyDescent="0.25">
      <c r="M1679" s="36"/>
      <c r="Q1679" s="36"/>
    </row>
    <row r="1680" spans="13:17" x14ac:dyDescent="0.25">
      <c r="M1680" s="36"/>
      <c r="Q1680" s="36"/>
    </row>
    <row r="1681" spans="13:17" x14ac:dyDescent="0.25">
      <c r="M1681" s="36"/>
      <c r="Q1681" s="36"/>
    </row>
    <row r="1682" spans="13:17" x14ac:dyDescent="0.25">
      <c r="M1682" s="36"/>
      <c r="Q1682" s="36"/>
    </row>
    <row r="1683" spans="13:17" x14ac:dyDescent="0.25">
      <c r="M1683" s="36"/>
      <c r="Q1683" s="36"/>
    </row>
    <row r="1684" spans="13:17" x14ac:dyDescent="0.25">
      <c r="M1684" s="36"/>
      <c r="Q1684" s="36"/>
    </row>
    <row r="1685" spans="13:17" x14ac:dyDescent="0.25">
      <c r="M1685" s="36"/>
      <c r="Q1685" s="36"/>
    </row>
    <row r="1686" spans="13:17" x14ac:dyDescent="0.25">
      <c r="M1686" s="36"/>
      <c r="Q1686" s="36"/>
    </row>
    <row r="1687" spans="13:17" x14ac:dyDescent="0.25">
      <c r="M1687" s="36"/>
      <c r="Q1687" s="36"/>
    </row>
    <row r="1688" spans="13:17" x14ac:dyDescent="0.25">
      <c r="M1688" s="36"/>
      <c r="Q1688" s="36"/>
    </row>
    <row r="1689" spans="13:17" x14ac:dyDescent="0.25">
      <c r="M1689" s="36"/>
      <c r="Q1689" s="36"/>
    </row>
    <row r="1690" spans="13:17" x14ac:dyDescent="0.25">
      <c r="M1690" s="36"/>
      <c r="Q1690" s="36"/>
    </row>
    <row r="1691" spans="13:17" x14ac:dyDescent="0.25">
      <c r="M1691" s="36"/>
      <c r="Q1691" s="36"/>
    </row>
    <row r="1692" spans="13:17" x14ac:dyDescent="0.25">
      <c r="M1692" s="36"/>
      <c r="Q1692" s="36"/>
    </row>
    <row r="1693" spans="13:17" x14ac:dyDescent="0.25">
      <c r="M1693" s="36"/>
      <c r="Q1693" s="36"/>
    </row>
    <row r="1694" spans="13:17" x14ac:dyDescent="0.25">
      <c r="M1694" s="36"/>
      <c r="Q1694" s="36"/>
    </row>
    <row r="1695" spans="13:17" x14ac:dyDescent="0.25">
      <c r="M1695" s="36"/>
      <c r="Q1695" s="36"/>
    </row>
    <row r="1696" spans="13:17" x14ac:dyDescent="0.25">
      <c r="M1696" s="36"/>
      <c r="Q1696" s="36"/>
    </row>
    <row r="1697" spans="13:17" x14ac:dyDescent="0.25">
      <c r="M1697" s="36"/>
      <c r="Q1697" s="36"/>
    </row>
    <row r="1698" spans="13:17" x14ac:dyDescent="0.25">
      <c r="M1698" s="36"/>
      <c r="Q1698" s="36"/>
    </row>
    <row r="1699" spans="13:17" x14ac:dyDescent="0.25">
      <c r="M1699" s="36"/>
      <c r="Q1699" s="36"/>
    </row>
    <row r="1700" spans="13:17" x14ac:dyDescent="0.25">
      <c r="M1700" s="36"/>
      <c r="Q1700" s="36"/>
    </row>
    <row r="1701" spans="13:17" x14ac:dyDescent="0.25">
      <c r="M1701" s="36"/>
      <c r="Q1701" s="36"/>
    </row>
    <row r="1702" spans="13:17" x14ac:dyDescent="0.25">
      <c r="M1702" s="36"/>
      <c r="Q1702" s="36"/>
    </row>
    <row r="1703" spans="13:17" x14ac:dyDescent="0.25">
      <c r="M1703" s="36"/>
      <c r="Q1703" s="36"/>
    </row>
    <row r="1704" spans="13:17" x14ac:dyDescent="0.25">
      <c r="M1704" s="36"/>
      <c r="Q1704" s="36"/>
    </row>
    <row r="1705" spans="13:17" x14ac:dyDescent="0.25">
      <c r="M1705" s="36"/>
      <c r="Q1705" s="36"/>
    </row>
    <row r="1706" spans="13:17" x14ac:dyDescent="0.25">
      <c r="M1706" s="36"/>
      <c r="Q1706" s="36"/>
    </row>
    <row r="1707" spans="13:17" x14ac:dyDescent="0.25">
      <c r="M1707" s="36"/>
      <c r="Q1707" s="36"/>
    </row>
    <row r="1708" spans="13:17" x14ac:dyDescent="0.25">
      <c r="M1708" s="36"/>
      <c r="Q1708" s="36"/>
    </row>
    <row r="1709" spans="13:17" x14ac:dyDescent="0.25">
      <c r="M1709" s="36"/>
      <c r="Q1709" s="36"/>
    </row>
    <row r="1710" spans="13:17" x14ac:dyDescent="0.25">
      <c r="M1710" s="36"/>
      <c r="Q1710" s="36"/>
    </row>
    <row r="1711" spans="13:17" x14ac:dyDescent="0.25">
      <c r="M1711" s="36"/>
      <c r="Q1711" s="36"/>
    </row>
    <row r="1712" spans="13:17" x14ac:dyDescent="0.25">
      <c r="M1712" s="36"/>
      <c r="Q1712" s="36"/>
    </row>
    <row r="1713" spans="13:17" x14ac:dyDescent="0.25">
      <c r="M1713" s="36"/>
      <c r="Q1713" s="36"/>
    </row>
    <row r="1714" spans="13:17" x14ac:dyDescent="0.25">
      <c r="M1714" s="36"/>
      <c r="Q1714" s="36"/>
    </row>
    <row r="1715" spans="13:17" x14ac:dyDescent="0.25">
      <c r="M1715" s="36"/>
      <c r="Q1715" s="36"/>
    </row>
    <row r="1716" spans="13:17" x14ac:dyDescent="0.25">
      <c r="M1716" s="36"/>
      <c r="Q1716" s="36"/>
    </row>
    <row r="1717" spans="13:17" x14ac:dyDescent="0.25">
      <c r="M1717" s="36"/>
      <c r="Q1717" s="36"/>
    </row>
    <row r="1718" spans="13:17" x14ac:dyDescent="0.25">
      <c r="M1718" s="36"/>
      <c r="Q1718" s="36"/>
    </row>
    <row r="1719" spans="13:17" x14ac:dyDescent="0.25">
      <c r="M1719" s="36"/>
      <c r="Q1719" s="36"/>
    </row>
    <row r="1720" spans="13:17" x14ac:dyDescent="0.25">
      <c r="M1720" s="36"/>
      <c r="Q1720" s="36"/>
    </row>
    <row r="1721" spans="13:17" x14ac:dyDescent="0.25">
      <c r="M1721" s="36"/>
      <c r="Q1721" s="36"/>
    </row>
    <row r="1722" spans="13:17" x14ac:dyDescent="0.25">
      <c r="M1722" s="36"/>
      <c r="Q1722" s="36"/>
    </row>
    <row r="1723" spans="13:17" x14ac:dyDescent="0.25">
      <c r="M1723" s="36"/>
      <c r="Q1723" s="36"/>
    </row>
    <row r="1724" spans="13:17" x14ac:dyDescent="0.25">
      <c r="M1724" s="36"/>
      <c r="Q1724" s="36"/>
    </row>
    <row r="1725" spans="13:17" x14ac:dyDescent="0.25">
      <c r="M1725" s="36"/>
      <c r="Q1725" s="36"/>
    </row>
    <row r="1726" spans="13:17" x14ac:dyDescent="0.25">
      <c r="M1726" s="36"/>
      <c r="Q1726" s="36"/>
    </row>
    <row r="1727" spans="13:17" x14ac:dyDescent="0.25">
      <c r="M1727" s="36"/>
      <c r="Q1727" s="36"/>
    </row>
    <row r="1728" spans="13:17" x14ac:dyDescent="0.25">
      <c r="M1728" s="36"/>
      <c r="Q1728" s="36"/>
    </row>
    <row r="1729" spans="13:17" x14ac:dyDescent="0.25">
      <c r="M1729" s="36"/>
      <c r="Q1729" s="36"/>
    </row>
    <row r="1730" spans="13:17" x14ac:dyDescent="0.25">
      <c r="M1730" s="36"/>
      <c r="Q1730" s="36"/>
    </row>
    <row r="1731" spans="13:17" x14ac:dyDescent="0.25">
      <c r="M1731" s="36"/>
      <c r="Q1731" s="36"/>
    </row>
    <row r="1732" spans="13:17" x14ac:dyDescent="0.25">
      <c r="M1732" s="36"/>
      <c r="Q1732" s="36"/>
    </row>
    <row r="1733" spans="13:17" x14ac:dyDescent="0.25">
      <c r="M1733" s="36"/>
      <c r="Q1733" s="36"/>
    </row>
    <row r="1734" spans="13:17" x14ac:dyDescent="0.25">
      <c r="M1734" s="36"/>
      <c r="Q1734" s="36"/>
    </row>
    <row r="1735" spans="13:17" x14ac:dyDescent="0.25">
      <c r="M1735" s="36"/>
      <c r="Q1735" s="36"/>
    </row>
    <row r="1736" spans="13:17" x14ac:dyDescent="0.25">
      <c r="M1736" s="36"/>
      <c r="Q1736" s="36"/>
    </row>
    <row r="1737" spans="13:17" x14ac:dyDescent="0.25">
      <c r="M1737" s="36"/>
      <c r="Q1737" s="36"/>
    </row>
    <row r="1738" spans="13:17" x14ac:dyDescent="0.25">
      <c r="M1738" s="36"/>
      <c r="Q1738" s="36"/>
    </row>
    <row r="1739" spans="13:17" x14ac:dyDescent="0.25">
      <c r="M1739" s="36"/>
      <c r="Q1739" s="36"/>
    </row>
    <row r="1740" spans="13:17" x14ac:dyDescent="0.25">
      <c r="M1740" s="36"/>
      <c r="Q1740" s="36"/>
    </row>
    <row r="1741" spans="13:17" x14ac:dyDescent="0.25">
      <c r="M1741" s="36"/>
      <c r="Q1741" s="36"/>
    </row>
    <row r="1742" spans="13:17" x14ac:dyDescent="0.25">
      <c r="M1742" s="36"/>
      <c r="Q1742" s="36"/>
    </row>
    <row r="1743" spans="13:17" x14ac:dyDescent="0.25">
      <c r="M1743" s="36"/>
      <c r="Q1743" s="36"/>
    </row>
    <row r="1744" spans="13:17" x14ac:dyDescent="0.25">
      <c r="M1744" s="36"/>
      <c r="Q1744" s="36"/>
    </row>
    <row r="1745" spans="13:17" x14ac:dyDescent="0.25">
      <c r="M1745" s="36"/>
      <c r="Q1745" s="36"/>
    </row>
    <row r="1746" spans="13:17" x14ac:dyDescent="0.25">
      <c r="M1746" s="36"/>
      <c r="Q1746" s="36"/>
    </row>
    <row r="1747" spans="13:17" x14ac:dyDescent="0.25">
      <c r="M1747" s="36"/>
      <c r="Q1747" s="36"/>
    </row>
    <row r="1748" spans="13:17" x14ac:dyDescent="0.25">
      <c r="M1748" s="36"/>
      <c r="Q1748" s="36"/>
    </row>
    <row r="1749" spans="13:17" x14ac:dyDescent="0.25">
      <c r="M1749" s="36"/>
      <c r="Q1749" s="36"/>
    </row>
    <row r="1750" spans="13:17" x14ac:dyDescent="0.25">
      <c r="M1750" s="36"/>
      <c r="Q1750" s="36"/>
    </row>
    <row r="1751" spans="13:17" x14ac:dyDescent="0.25">
      <c r="M1751" s="36"/>
      <c r="Q1751" s="36"/>
    </row>
    <row r="1752" spans="13:17" x14ac:dyDescent="0.25">
      <c r="M1752" s="36"/>
      <c r="Q1752" s="36"/>
    </row>
    <row r="1753" spans="13:17" x14ac:dyDescent="0.25">
      <c r="M1753" s="36"/>
      <c r="Q1753" s="36"/>
    </row>
    <row r="1754" spans="13:17" x14ac:dyDescent="0.25">
      <c r="M1754" s="36"/>
      <c r="Q1754" s="36"/>
    </row>
    <row r="1755" spans="13:17" x14ac:dyDescent="0.25">
      <c r="M1755" s="36"/>
      <c r="Q1755" s="36"/>
    </row>
    <row r="1756" spans="13:17" x14ac:dyDescent="0.25">
      <c r="M1756" s="36"/>
      <c r="Q1756" s="36"/>
    </row>
    <row r="1757" spans="13:17" x14ac:dyDescent="0.25">
      <c r="M1757" s="36"/>
      <c r="Q1757" s="36"/>
    </row>
    <row r="1758" spans="13:17" x14ac:dyDescent="0.25">
      <c r="M1758" s="36"/>
      <c r="Q1758" s="36"/>
    </row>
    <row r="1759" spans="13:17" x14ac:dyDescent="0.25">
      <c r="M1759" s="36"/>
      <c r="Q1759" s="36"/>
    </row>
    <row r="1760" spans="13:17" x14ac:dyDescent="0.25">
      <c r="M1760" s="36"/>
      <c r="Q1760" s="36"/>
    </row>
    <row r="1761" spans="13:17" x14ac:dyDescent="0.25">
      <c r="M1761" s="36"/>
      <c r="Q1761" s="36"/>
    </row>
    <row r="1762" spans="13:17" x14ac:dyDescent="0.25">
      <c r="M1762" s="36"/>
      <c r="Q1762" s="36"/>
    </row>
    <row r="1763" spans="13:17" x14ac:dyDescent="0.25">
      <c r="M1763" s="36"/>
      <c r="Q1763" s="36"/>
    </row>
    <row r="1764" spans="13:17" x14ac:dyDescent="0.25">
      <c r="M1764" s="36"/>
      <c r="Q1764" s="36"/>
    </row>
    <row r="1765" spans="13:17" x14ac:dyDescent="0.25">
      <c r="M1765" s="36"/>
      <c r="Q1765" s="36"/>
    </row>
    <row r="1766" spans="13:17" x14ac:dyDescent="0.25">
      <c r="M1766" s="36"/>
      <c r="Q1766" s="36"/>
    </row>
    <row r="1767" spans="13:17" x14ac:dyDescent="0.25">
      <c r="M1767" s="36"/>
      <c r="Q1767" s="36"/>
    </row>
    <row r="1768" spans="13:17" x14ac:dyDescent="0.25">
      <c r="M1768" s="36"/>
      <c r="Q1768" s="36"/>
    </row>
    <row r="1769" spans="13:17" x14ac:dyDescent="0.25">
      <c r="M1769" s="36"/>
      <c r="Q1769" s="36"/>
    </row>
    <row r="1770" spans="13:17" x14ac:dyDescent="0.25">
      <c r="M1770" s="36"/>
      <c r="Q1770" s="36"/>
    </row>
    <row r="1771" spans="13:17" x14ac:dyDescent="0.25">
      <c r="M1771" s="36"/>
      <c r="Q1771" s="36"/>
    </row>
    <row r="1772" spans="13:17" x14ac:dyDescent="0.25">
      <c r="M1772" s="36"/>
      <c r="Q1772" s="36"/>
    </row>
    <row r="1773" spans="13:17" x14ac:dyDescent="0.25">
      <c r="M1773" s="36"/>
      <c r="Q1773" s="36"/>
    </row>
    <row r="1774" spans="13:17" x14ac:dyDescent="0.25">
      <c r="M1774" s="36"/>
      <c r="Q1774" s="36"/>
    </row>
    <row r="1775" spans="13:17" x14ac:dyDescent="0.25">
      <c r="M1775" s="36"/>
      <c r="Q1775" s="36"/>
    </row>
    <row r="1776" spans="13:17" x14ac:dyDescent="0.25">
      <c r="M1776" s="36"/>
      <c r="Q1776" s="36"/>
    </row>
    <row r="1777" spans="13:17" x14ac:dyDescent="0.25">
      <c r="M1777" s="36"/>
      <c r="Q1777" s="36"/>
    </row>
    <row r="1778" spans="13:17" x14ac:dyDescent="0.25">
      <c r="M1778" s="36"/>
      <c r="Q1778" s="36"/>
    </row>
    <row r="1779" spans="13:17" x14ac:dyDescent="0.25">
      <c r="M1779" s="36"/>
      <c r="Q1779" s="36"/>
    </row>
    <row r="1780" spans="13:17" x14ac:dyDescent="0.25">
      <c r="M1780" s="36"/>
      <c r="Q1780" s="36"/>
    </row>
    <row r="1781" spans="13:17" x14ac:dyDescent="0.25">
      <c r="M1781" s="36"/>
      <c r="Q1781" s="36"/>
    </row>
    <row r="1782" spans="13:17" x14ac:dyDescent="0.25">
      <c r="M1782" s="36"/>
      <c r="Q1782" s="36"/>
    </row>
    <row r="1783" spans="13:17" x14ac:dyDescent="0.25">
      <c r="M1783" s="36"/>
      <c r="Q1783" s="36"/>
    </row>
    <row r="1784" spans="13:17" x14ac:dyDescent="0.25">
      <c r="M1784" s="36"/>
      <c r="Q1784" s="36"/>
    </row>
    <row r="1785" spans="13:17" x14ac:dyDescent="0.25">
      <c r="M1785" s="36"/>
      <c r="Q1785" s="36"/>
    </row>
    <row r="1786" spans="13:17" x14ac:dyDescent="0.25">
      <c r="M1786" s="36"/>
      <c r="Q1786" s="36"/>
    </row>
    <row r="1787" spans="13:17" x14ac:dyDescent="0.25">
      <c r="M1787" s="36"/>
      <c r="Q1787" s="36"/>
    </row>
    <row r="1788" spans="13:17" x14ac:dyDescent="0.25">
      <c r="M1788" s="36"/>
      <c r="Q1788" s="36"/>
    </row>
    <row r="1789" spans="13:17" x14ac:dyDescent="0.25">
      <c r="M1789" s="36"/>
      <c r="Q1789" s="36"/>
    </row>
    <row r="1790" spans="13:17" x14ac:dyDescent="0.25">
      <c r="M1790" s="36"/>
      <c r="Q1790" s="36"/>
    </row>
    <row r="1791" spans="13:17" x14ac:dyDescent="0.25">
      <c r="M1791" s="36"/>
      <c r="Q1791" s="36"/>
    </row>
    <row r="1792" spans="13:17" x14ac:dyDescent="0.25">
      <c r="M1792" s="36"/>
      <c r="Q1792" s="36"/>
    </row>
    <row r="1793" spans="13:17" x14ac:dyDescent="0.25">
      <c r="M1793" s="36"/>
      <c r="Q1793" s="36"/>
    </row>
    <row r="1794" spans="13:17" x14ac:dyDescent="0.25">
      <c r="M1794" s="36"/>
      <c r="Q1794" s="36"/>
    </row>
    <row r="1795" spans="13:17" x14ac:dyDescent="0.25">
      <c r="M1795" s="36"/>
      <c r="Q1795" s="36"/>
    </row>
    <row r="1796" spans="13:17" x14ac:dyDescent="0.25">
      <c r="M1796" s="36"/>
      <c r="Q1796" s="36"/>
    </row>
    <row r="1797" spans="13:17" x14ac:dyDescent="0.25">
      <c r="M1797" s="36"/>
      <c r="Q1797" s="36"/>
    </row>
    <row r="1798" spans="13:17" x14ac:dyDescent="0.25">
      <c r="M1798" s="36"/>
      <c r="Q1798" s="36"/>
    </row>
    <row r="1799" spans="13:17" x14ac:dyDescent="0.25">
      <c r="M1799" s="36"/>
      <c r="Q1799" s="36"/>
    </row>
    <row r="1800" spans="13:17" x14ac:dyDescent="0.25">
      <c r="M1800" s="36"/>
      <c r="Q1800" s="36"/>
    </row>
    <row r="1801" spans="13:17" x14ac:dyDescent="0.25">
      <c r="M1801" s="36"/>
      <c r="Q1801" s="36"/>
    </row>
    <row r="1802" spans="13:17" x14ac:dyDescent="0.25">
      <c r="M1802" s="36"/>
      <c r="Q1802" s="36"/>
    </row>
    <row r="1803" spans="13:17" x14ac:dyDescent="0.25">
      <c r="M1803" s="36"/>
      <c r="Q1803" s="36"/>
    </row>
    <row r="1804" spans="13:17" x14ac:dyDescent="0.25">
      <c r="M1804" s="36"/>
      <c r="Q1804" s="36"/>
    </row>
    <row r="1805" spans="13:17" x14ac:dyDescent="0.25">
      <c r="M1805" s="36"/>
      <c r="Q1805" s="36"/>
    </row>
    <row r="1806" spans="13:17" x14ac:dyDescent="0.25">
      <c r="M1806" s="36"/>
      <c r="Q1806" s="36"/>
    </row>
    <row r="1807" spans="13:17" x14ac:dyDescent="0.25">
      <c r="M1807" s="36"/>
      <c r="Q1807" s="36"/>
    </row>
    <row r="1808" spans="13:17" x14ac:dyDescent="0.25">
      <c r="M1808" s="36"/>
      <c r="Q1808" s="36"/>
    </row>
    <row r="1809" spans="13:17" x14ac:dyDescent="0.25">
      <c r="M1809" s="36"/>
      <c r="Q1809" s="36"/>
    </row>
    <row r="1810" spans="13:17" x14ac:dyDescent="0.25">
      <c r="M1810" s="36"/>
      <c r="Q1810" s="36"/>
    </row>
    <row r="1811" spans="13:17" x14ac:dyDescent="0.25">
      <c r="M1811" s="36"/>
      <c r="Q1811" s="36"/>
    </row>
    <row r="1812" spans="13:17" x14ac:dyDescent="0.25">
      <c r="M1812" s="36"/>
      <c r="Q1812" s="36"/>
    </row>
    <row r="1813" spans="13:17" x14ac:dyDescent="0.25">
      <c r="M1813" s="36"/>
      <c r="Q1813" s="36"/>
    </row>
    <row r="1814" spans="13:17" x14ac:dyDescent="0.25">
      <c r="M1814" s="36"/>
      <c r="Q1814" s="36"/>
    </row>
    <row r="1815" spans="13:17" x14ac:dyDescent="0.25">
      <c r="M1815" s="36"/>
      <c r="Q1815" s="36"/>
    </row>
    <row r="1816" spans="13:17" x14ac:dyDescent="0.25">
      <c r="M1816" s="36"/>
      <c r="Q1816" s="36"/>
    </row>
    <row r="1817" spans="13:17" x14ac:dyDescent="0.25">
      <c r="M1817" s="36"/>
      <c r="Q1817" s="36"/>
    </row>
    <row r="1818" spans="13:17" x14ac:dyDescent="0.25">
      <c r="M1818" s="36"/>
      <c r="Q1818" s="36"/>
    </row>
    <row r="1819" spans="13:17" x14ac:dyDescent="0.25">
      <c r="M1819" s="36"/>
      <c r="Q1819" s="36"/>
    </row>
    <row r="1820" spans="13:17" x14ac:dyDescent="0.25">
      <c r="M1820" s="36"/>
      <c r="Q1820" s="36"/>
    </row>
    <row r="1821" spans="13:17" x14ac:dyDescent="0.25">
      <c r="M1821" s="36"/>
      <c r="Q1821" s="36"/>
    </row>
    <row r="1822" spans="13:17" x14ac:dyDescent="0.25">
      <c r="M1822" s="36"/>
      <c r="Q1822" s="36"/>
    </row>
    <row r="1823" spans="13:17" x14ac:dyDescent="0.25">
      <c r="M1823" s="36"/>
      <c r="Q1823" s="36"/>
    </row>
    <row r="1824" spans="13:17" x14ac:dyDescent="0.25">
      <c r="M1824" s="36"/>
      <c r="Q1824" s="36"/>
    </row>
    <row r="1825" spans="13:17" x14ac:dyDescent="0.25">
      <c r="M1825" s="36"/>
      <c r="Q1825" s="36"/>
    </row>
    <row r="1826" spans="13:17" x14ac:dyDescent="0.25">
      <c r="M1826" s="36"/>
      <c r="Q1826" s="36"/>
    </row>
    <row r="1827" spans="13:17" x14ac:dyDescent="0.25">
      <c r="M1827" s="36"/>
      <c r="Q1827" s="36"/>
    </row>
    <row r="1828" spans="13:17" x14ac:dyDescent="0.25">
      <c r="M1828" s="36"/>
      <c r="Q1828" s="36"/>
    </row>
    <row r="1829" spans="13:17" x14ac:dyDescent="0.25">
      <c r="M1829" s="36"/>
      <c r="Q1829" s="36"/>
    </row>
    <row r="1830" spans="13:17" x14ac:dyDescent="0.25">
      <c r="M1830" s="36"/>
      <c r="Q1830" s="36"/>
    </row>
    <row r="1831" spans="13:17" x14ac:dyDescent="0.25">
      <c r="M1831" s="36"/>
      <c r="Q1831" s="36"/>
    </row>
    <row r="1832" spans="13:17" x14ac:dyDescent="0.25">
      <c r="M1832" s="36"/>
      <c r="Q1832" s="36"/>
    </row>
    <row r="1833" spans="13:17" x14ac:dyDescent="0.25">
      <c r="M1833" s="36"/>
      <c r="Q1833" s="36"/>
    </row>
    <row r="1834" spans="13:17" x14ac:dyDescent="0.25">
      <c r="M1834" s="36"/>
      <c r="Q1834" s="36"/>
    </row>
    <row r="1835" spans="13:17" x14ac:dyDescent="0.25">
      <c r="M1835" s="36"/>
      <c r="Q1835" s="36"/>
    </row>
    <row r="1836" spans="13:17" x14ac:dyDescent="0.25">
      <c r="M1836" s="36"/>
      <c r="Q1836" s="36"/>
    </row>
    <row r="1837" spans="13:17" x14ac:dyDescent="0.25">
      <c r="M1837" s="36"/>
      <c r="Q1837" s="36"/>
    </row>
    <row r="1838" spans="13:17" x14ac:dyDescent="0.25">
      <c r="M1838" s="36"/>
      <c r="Q1838" s="36"/>
    </row>
    <row r="1839" spans="13:17" x14ac:dyDescent="0.25">
      <c r="M1839" s="36"/>
      <c r="Q1839" s="36"/>
    </row>
    <row r="1840" spans="13:17" x14ac:dyDescent="0.25">
      <c r="M1840" s="36"/>
      <c r="Q1840" s="36"/>
    </row>
    <row r="1841" spans="13:17" x14ac:dyDescent="0.25">
      <c r="M1841" s="36"/>
      <c r="Q1841" s="36"/>
    </row>
    <row r="1842" spans="13:17" x14ac:dyDescent="0.25">
      <c r="M1842" s="36"/>
      <c r="Q1842" s="36"/>
    </row>
    <row r="1843" spans="13:17" x14ac:dyDescent="0.25">
      <c r="M1843" s="36"/>
      <c r="Q1843" s="36"/>
    </row>
    <row r="1844" spans="13:17" x14ac:dyDescent="0.25">
      <c r="M1844" s="36"/>
      <c r="Q1844" s="36"/>
    </row>
    <row r="1845" spans="13:17" x14ac:dyDescent="0.25">
      <c r="M1845" s="36"/>
      <c r="Q1845" s="36"/>
    </row>
    <row r="1846" spans="13:17" x14ac:dyDescent="0.25">
      <c r="M1846" s="36"/>
      <c r="Q1846" s="36"/>
    </row>
    <row r="1847" spans="13:17" x14ac:dyDescent="0.25">
      <c r="M1847" s="36"/>
      <c r="Q1847" s="36"/>
    </row>
    <row r="1848" spans="13:17" x14ac:dyDescent="0.25">
      <c r="M1848" s="36"/>
      <c r="Q1848" s="36"/>
    </row>
    <row r="1849" spans="13:17" x14ac:dyDescent="0.25">
      <c r="M1849" s="36"/>
      <c r="Q1849" s="36"/>
    </row>
    <row r="1850" spans="13:17" x14ac:dyDescent="0.25">
      <c r="M1850" s="36"/>
      <c r="Q1850" s="36"/>
    </row>
    <row r="1851" spans="13:17" x14ac:dyDescent="0.25">
      <c r="M1851" s="36"/>
      <c r="Q1851" s="36"/>
    </row>
    <row r="1852" spans="13:17" x14ac:dyDescent="0.25">
      <c r="M1852" s="36"/>
      <c r="Q1852" s="36"/>
    </row>
    <row r="1853" spans="13:17" x14ac:dyDescent="0.25">
      <c r="M1853" s="36"/>
      <c r="Q1853" s="36"/>
    </row>
    <row r="1854" spans="13:17" x14ac:dyDescent="0.25">
      <c r="M1854" s="36"/>
      <c r="Q1854" s="36"/>
    </row>
    <row r="1855" spans="13:17" x14ac:dyDescent="0.25">
      <c r="M1855" s="36"/>
      <c r="Q1855" s="36"/>
    </row>
    <row r="1856" spans="13:17" x14ac:dyDescent="0.25">
      <c r="M1856" s="36"/>
      <c r="Q1856" s="36"/>
    </row>
    <row r="1857" spans="13:17" x14ac:dyDescent="0.25">
      <c r="M1857" s="36"/>
      <c r="Q1857" s="36"/>
    </row>
    <row r="1858" spans="13:17" x14ac:dyDescent="0.25">
      <c r="M1858" s="36"/>
      <c r="Q1858" s="36"/>
    </row>
    <row r="1859" spans="13:17" x14ac:dyDescent="0.25">
      <c r="M1859" s="36"/>
      <c r="Q1859" s="36"/>
    </row>
    <row r="1860" spans="13:17" x14ac:dyDescent="0.25">
      <c r="M1860" s="36"/>
      <c r="Q1860" s="36"/>
    </row>
    <row r="1861" spans="13:17" x14ac:dyDescent="0.25">
      <c r="M1861" s="36"/>
      <c r="Q1861" s="36"/>
    </row>
    <row r="1862" spans="13:17" x14ac:dyDescent="0.25">
      <c r="M1862" s="36"/>
      <c r="Q1862" s="36"/>
    </row>
    <row r="1863" spans="13:17" x14ac:dyDescent="0.25">
      <c r="M1863" s="36"/>
      <c r="Q1863" s="36"/>
    </row>
    <row r="1864" spans="13:17" x14ac:dyDescent="0.25">
      <c r="M1864" s="36"/>
      <c r="Q1864" s="36"/>
    </row>
    <row r="1865" spans="13:17" x14ac:dyDescent="0.25">
      <c r="M1865" s="36"/>
      <c r="Q1865" s="36"/>
    </row>
    <row r="1866" spans="13:17" x14ac:dyDescent="0.25">
      <c r="M1866" s="36"/>
      <c r="Q1866" s="36"/>
    </row>
    <row r="1867" spans="13:17" x14ac:dyDescent="0.25">
      <c r="M1867" s="36"/>
      <c r="Q1867" s="36"/>
    </row>
    <row r="1868" spans="13:17" x14ac:dyDescent="0.25">
      <c r="M1868" s="36"/>
      <c r="Q1868" s="36"/>
    </row>
    <row r="1869" spans="13:17" x14ac:dyDescent="0.25">
      <c r="M1869" s="36"/>
      <c r="Q1869" s="36"/>
    </row>
    <row r="1870" spans="13:17" x14ac:dyDescent="0.25">
      <c r="M1870" s="36"/>
      <c r="Q1870" s="36"/>
    </row>
    <row r="1871" spans="13:17" x14ac:dyDescent="0.25">
      <c r="M1871" s="36"/>
      <c r="Q1871" s="36"/>
    </row>
    <row r="1872" spans="13:17" x14ac:dyDescent="0.25">
      <c r="M1872" s="36"/>
      <c r="Q1872" s="36"/>
    </row>
    <row r="1873" spans="13:17" x14ac:dyDescent="0.25">
      <c r="M1873" s="36"/>
      <c r="Q1873" s="36"/>
    </row>
    <row r="1874" spans="13:17" x14ac:dyDescent="0.25">
      <c r="M1874" s="36"/>
      <c r="Q1874" s="36"/>
    </row>
    <row r="1875" spans="13:17" x14ac:dyDescent="0.25">
      <c r="M1875" s="36"/>
      <c r="Q1875" s="36"/>
    </row>
    <row r="1876" spans="13:17" x14ac:dyDescent="0.25">
      <c r="M1876" s="36"/>
      <c r="Q1876" s="36"/>
    </row>
    <row r="1877" spans="13:17" x14ac:dyDescent="0.25">
      <c r="M1877" s="36"/>
      <c r="Q1877" s="36"/>
    </row>
    <row r="1878" spans="13:17" x14ac:dyDescent="0.25">
      <c r="M1878" s="36"/>
      <c r="Q1878" s="36"/>
    </row>
    <row r="1879" spans="13:17" x14ac:dyDescent="0.25">
      <c r="M1879" s="36"/>
      <c r="Q1879" s="36"/>
    </row>
    <row r="1880" spans="13:17" x14ac:dyDescent="0.25">
      <c r="M1880" s="36"/>
      <c r="Q1880" s="36"/>
    </row>
    <row r="1881" spans="13:17" x14ac:dyDescent="0.25">
      <c r="M1881" s="36"/>
      <c r="Q1881" s="36"/>
    </row>
    <row r="1882" spans="13:17" x14ac:dyDescent="0.25">
      <c r="M1882" s="36"/>
      <c r="Q1882" s="36"/>
    </row>
    <row r="1883" spans="13:17" x14ac:dyDescent="0.25">
      <c r="M1883" s="36"/>
      <c r="Q1883" s="36"/>
    </row>
    <row r="1884" spans="13:17" x14ac:dyDescent="0.25">
      <c r="M1884" s="36"/>
      <c r="Q1884" s="36"/>
    </row>
    <row r="1885" spans="13:17" x14ac:dyDescent="0.25">
      <c r="M1885" s="36"/>
      <c r="Q1885" s="36"/>
    </row>
    <row r="1886" spans="13:17" x14ac:dyDescent="0.25">
      <c r="M1886" s="36"/>
      <c r="Q1886" s="36"/>
    </row>
    <row r="1887" spans="13:17" x14ac:dyDescent="0.25">
      <c r="M1887" s="36"/>
      <c r="Q1887" s="36"/>
    </row>
    <row r="1888" spans="13:17" x14ac:dyDescent="0.25">
      <c r="M1888" s="36"/>
      <c r="Q1888" s="36"/>
    </row>
    <row r="1889" spans="13:17" x14ac:dyDescent="0.25">
      <c r="M1889" s="36"/>
      <c r="Q1889" s="36"/>
    </row>
    <row r="1890" spans="13:17" x14ac:dyDescent="0.25">
      <c r="M1890" s="36"/>
      <c r="Q1890" s="36"/>
    </row>
    <row r="1891" spans="13:17" x14ac:dyDescent="0.25">
      <c r="M1891" s="36"/>
      <c r="Q1891" s="36"/>
    </row>
    <row r="1892" spans="13:17" x14ac:dyDescent="0.25">
      <c r="M1892" s="36"/>
      <c r="Q1892" s="36"/>
    </row>
    <row r="1893" spans="13:17" x14ac:dyDescent="0.25">
      <c r="M1893" s="36"/>
      <c r="Q1893" s="36"/>
    </row>
    <row r="1894" spans="13:17" x14ac:dyDescent="0.25">
      <c r="M1894" s="36"/>
      <c r="Q1894" s="36"/>
    </row>
    <row r="1895" spans="13:17" x14ac:dyDescent="0.25">
      <c r="M1895" s="36"/>
      <c r="Q1895" s="36"/>
    </row>
    <row r="1896" spans="13:17" x14ac:dyDescent="0.25">
      <c r="M1896" s="36"/>
      <c r="Q1896" s="36"/>
    </row>
    <row r="1897" spans="13:17" x14ac:dyDescent="0.25">
      <c r="M1897" s="36"/>
      <c r="Q1897" s="36"/>
    </row>
    <row r="1898" spans="13:17" x14ac:dyDescent="0.25">
      <c r="M1898" s="36"/>
      <c r="Q1898" s="36"/>
    </row>
    <row r="1899" spans="13:17" x14ac:dyDescent="0.25">
      <c r="M1899" s="36"/>
      <c r="Q1899" s="36"/>
    </row>
    <row r="1900" spans="13:17" x14ac:dyDescent="0.25">
      <c r="M1900" s="36"/>
      <c r="Q1900" s="36"/>
    </row>
    <row r="1901" spans="13:17" x14ac:dyDescent="0.25">
      <c r="M1901" s="36"/>
      <c r="Q1901" s="36"/>
    </row>
    <row r="1902" spans="13:17" x14ac:dyDescent="0.25">
      <c r="M1902" s="36"/>
      <c r="Q1902" s="36"/>
    </row>
    <row r="1903" spans="13:17" x14ac:dyDescent="0.25">
      <c r="M1903" s="36"/>
      <c r="Q1903" s="36"/>
    </row>
    <row r="1904" spans="13:17" x14ac:dyDescent="0.25">
      <c r="M1904" s="36"/>
      <c r="Q1904" s="36"/>
    </row>
    <row r="1905" spans="13:17" x14ac:dyDescent="0.25">
      <c r="M1905" s="36"/>
      <c r="Q1905" s="36"/>
    </row>
    <row r="1906" spans="13:17" x14ac:dyDescent="0.25">
      <c r="M1906" s="36"/>
      <c r="Q1906" s="36"/>
    </row>
    <row r="1907" spans="13:17" x14ac:dyDescent="0.25">
      <c r="M1907" s="36"/>
      <c r="Q1907" s="36"/>
    </row>
    <row r="1908" spans="13:17" x14ac:dyDescent="0.25">
      <c r="M1908" s="36"/>
      <c r="Q1908" s="36"/>
    </row>
    <row r="1909" spans="13:17" x14ac:dyDescent="0.25">
      <c r="M1909" s="36"/>
      <c r="Q1909" s="36"/>
    </row>
    <row r="1910" spans="13:17" x14ac:dyDescent="0.25">
      <c r="M1910" s="36"/>
      <c r="Q1910" s="36"/>
    </row>
    <row r="1911" spans="13:17" x14ac:dyDescent="0.25">
      <c r="M1911" s="36"/>
      <c r="Q1911" s="36"/>
    </row>
    <row r="1912" spans="13:17" x14ac:dyDescent="0.25">
      <c r="M1912" s="36"/>
      <c r="Q1912" s="36"/>
    </row>
    <row r="1913" spans="13:17" x14ac:dyDescent="0.25">
      <c r="M1913" s="36"/>
      <c r="Q1913" s="36"/>
    </row>
    <row r="1914" spans="13:17" x14ac:dyDescent="0.25">
      <c r="M1914" s="36"/>
      <c r="Q1914" s="36"/>
    </row>
    <row r="1915" spans="13:17" x14ac:dyDescent="0.25">
      <c r="M1915" s="36"/>
      <c r="Q1915" s="36"/>
    </row>
    <row r="1916" spans="13:17" x14ac:dyDescent="0.25">
      <c r="M1916" s="36"/>
      <c r="Q1916" s="36"/>
    </row>
    <row r="1917" spans="13:17" x14ac:dyDescent="0.25">
      <c r="M1917" s="36"/>
      <c r="Q1917" s="36"/>
    </row>
    <row r="1918" spans="13:17" x14ac:dyDescent="0.25">
      <c r="M1918" s="36"/>
      <c r="Q1918" s="36"/>
    </row>
    <row r="1919" spans="13:17" x14ac:dyDescent="0.25">
      <c r="M1919" s="36"/>
      <c r="Q1919" s="36"/>
    </row>
    <row r="1920" spans="13:17" x14ac:dyDescent="0.25">
      <c r="M1920" s="36"/>
      <c r="Q1920" s="36"/>
    </row>
    <row r="1921" spans="13:17" x14ac:dyDescent="0.25">
      <c r="M1921" s="36"/>
      <c r="Q1921" s="36"/>
    </row>
    <row r="1922" spans="13:17" x14ac:dyDescent="0.25">
      <c r="M1922" s="36"/>
      <c r="Q1922" s="36"/>
    </row>
    <row r="1923" spans="13:17" x14ac:dyDescent="0.25">
      <c r="M1923" s="36"/>
      <c r="Q1923" s="36"/>
    </row>
    <row r="1924" spans="13:17" x14ac:dyDescent="0.25">
      <c r="M1924" s="36"/>
      <c r="Q1924" s="36"/>
    </row>
    <row r="1925" spans="13:17" x14ac:dyDescent="0.25">
      <c r="M1925" s="36"/>
      <c r="Q1925" s="36"/>
    </row>
    <row r="1926" spans="13:17" x14ac:dyDescent="0.25">
      <c r="M1926" s="36"/>
      <c r="Q1926" s="36"/>
    </row>
    <row r="1927" spans="13:17" x14ac:dyDescent="0.25">
      <c r="M1927" s="36"/>
      <c r="Q1927" s="36"/>
    </row>
    <row r="1928" spans="13:17" x14ac:dyDescent="0.25">
      <c r="M1928" s="36"/>
      <c r="Q1928" s="36"/>
    </row>
    <row r="1929" spans="13:17" x14ac:dyDescent="0.25">
      <c r="M1929" s="36"/>
      <c r="Q1929" s="36"/>
    </row>
    <row r="1930" spans="13:17" x14ac:dyDescent="0.25">
      <c r="M1930" s="36"/>
      <c r="Q1930" s="36"/>
    </row>
    <row r="1931" spans="13:17" x14ac:dyDescent="0.25">
      <c r="M1931" s="36"/>
      <c r="Q1931" s="36"/>
    </row>
    <row r="1932" spans="13:17" x14ac:dyDescent="0.25">
      <c r="M1932" s="36"/>
      <c r="Q1932" s="36"/>
    </row>
    <row r="1933" spans="13:17" x14ac:dyDescent="0.25">
      <c r="M1933" s="36"/>
      <c r="Q1933" s="36"/>
    </row>
    <row r="1934" spans="13:17" x14ac:dyDescent="0.25">
      <c r="M1934" s="36"/>
      <c r="Q1934" s="36"/>
    </row>
    <row r="1935" spans="13:17" x14ac:dyDescent="0.25">
      <c r="M1935" s="36"/>
      <c r="Q1935" s="36"/>
    </row>
    <row r="1936" spans="13:17" x14ac:dyDescent="0.25">
      <c r="M1936" s="36"/>
      <c r="Q1936" s="36"/>
    </row>
    <row r="1937" spans="13:17" x14ac:dyDescent="0.25">
      <c r="M1937" s="36"/>
      <c r="Q1937" s="36"/>
    </row>
    <row r="1938" spans="13:17" x14ac:dyDescent="0.25">
      <c r="M1938" s="36"/>
      <c r="Q1938" s="36"/>
    </row>
    <row r="1939" spans="13:17" x14ac:dyDescent="0.25">
      <c r="M1939" s="36"/>
      <c r="Q1939" s="36"/>
    </row>
    <row r="1940" spans="13:17" x14ac:dyDescent="0.25">
      <c r="M1940" s="36"/>
      <c r="Q1940" s="36"/>
    </row>
    <row r="1941" spans="13:17" x14ac:dyDescent="0.25">
      <c r="M1941" s="36"/>
      <c r="Q1941" s="36"/>
    </row>
    <row r="1942" spans="13:17" x14ac:dyDescent="0.25">
      <c r="M1942" s="36"/>
      <c r="Q1942" s="36"/>
    </row>
    <row r="1943" spans="13:17" x14ac:dyDescent="0.25">
      <c r="M1943" s="36"/>
      <c r="Q1943" s="36"/>
    </row>
    <row r="1944" spans="13:17" x14ac:dyDescent="0.25">
      <c r="M1944" s="36"/>
      <c r="Q1944" s="36"/>
    </row>
    <row r="1945" spans="13:17" x14ac:dyDescent="0.25">
      <c r="M1945" s="36"/>
      <c r="Q1945" s="36"/>
    </row>
    <row r="1946" spans="13:17" x14ac:dyDescent="0.25">
      <c r="M1946" s="36"/>
      <c r="Q1946" s="36"/>
    </row>
    <row r="1947" spans="13:17" x14ac:dyDescent="0.25">
      <c r="M1947" s="36"/>
      <c r="Q1947" s="36"/>
    </row>
    <row r="1948" spans="13:17" x14ac:dyDescent="0.25">
      <c r="M1948" s="36"/>
      <c r="Q1948" s="36"/>
    </row>
    <row r="1949" spans="13:17" x14ac:dyDescent="0.25">
      <c r="M1949" s="36"/>
      <c r="Q1949" s="36"/>
    </row>
    <row r="1950" spans="13:17" x14ac:dyDescent="0.25">
      <c r="M1950" s="36"/>
      <c r="Q1950" s="36"/>
    </row>
    <row r="1951" spans="13:17" x14ac:dyDescent="0.25">
      <c r="M1951" s="36"/>
      <c r="Q1951" s="36"/>
    </row>
    <row r="1952" spans="13:17" x14ac:dyDescent="0.25">
      <c r="M1952" s="36"/>
      <c r="Q1952" s="36"/>
    </row>
    <row r="1953" spans="13:17" x14ac:dyDescent="0.25">
      <c r="M1953" s="36"/>
      <c r="Q1953" s="36"/>
    </row>
    <row r="1954" spans="13:17" x14ac:dyDescent="0.25">
      <c r="M1954" s="36"/>
      <c r="Q1954" s="36"/>
    </row>
    <row r="1955" spans="13:17" x14ac:dyDescent="0.25">
      <c r="M1955" s="36"/>
      <c r="Q1955" s="36"/>
    </row>
    <row r="1956" spans="13:17" x14ac:dyDescent="0.25">
      <c r="M1956" s="36"/>
      <c r="Q1956" s="36"/>
    </row>
    <row r="1957" spans="13:17" x14ac:dyDescent="0.25">
      <c r="M1957" s="36"/>
      <c r="Q1957" s="36"/>
    </row>
    <row r="1958" spans="13:17" x14ac:dyDescent="0.25">
      <c r="M1958" s="36"/>
      <c r="Q1958" s="36"/>
    </row>
    <row r="1959" spans="13:17" x14ac:dyDescent="0.25">
      <c r="M1959" s="36"/>
      <c r="Q1959" s="36"/>
    </row>
    <row r="1960" spans="13:17" x14ac:dyDescent="0.25">
      <c r="M1960" s="36"/>
      <c r="Q1960" s="36"/>
    </row>
    <row r="1961" spans="13:17" x14ac:dyDescent="0.25">
      <c r="M1961" s="36"/>
      <c r="Q1961" s="36"/>
    </row>
    <row r="1962" spans="13:17" x14ac:dyDescent="0.25">
      <c r="M1962" s="36"/>
      <c r="Q1962" s="36"/>
    </row>
    <row r="1963" spans="13:17" x14ac:dyDescent="0.25">
      <c r="M1963" s="36"/>
      <c r="Q1963" s="36"/>
    </row>
    <row r="1964" spans="13:17" x14ac:dyDescent="0.25">
      <c r="M1964" s="36"/>
      <c r="Q1964" s="36"/>
    </row>
    <row r="1965" spans="13:17" x14ac:dyDescent="0.25">
      <c r="M1965" s="36"/>
      <c r="Q1965" s="36"/>
    </row>
    <row r="1966" spans="13:17" x14ac:dyDescent="0.25">
      <c r="M1966" s="36"/>
      <c r="Q1966" s="36"/>
    </row>
    <row r="1967" spans="13:17" x14ac:dyDescent="0.25">
      <c r="M1967" s="36"/>
      <c r="Q1967" s="36"/>
    </row>
    <row r="1968" spans="13:17" x14ac:dyDescent="0.25">
      <c r="M1968" s="36"/>
      <c r="Q1968" s="36"/>
    </row>
    <row r="1969" spans="13:17" x14ac:dyDescent="0.25">
      <c r="M1969" s="36"/>
      <c r="Q1969" s="36"/>
    </row>
    <row r="1970" spans="13:17" x14ac:dyDescent="0.25">
      <c r="M1970" s="36"/>
      <c r="Q1970" s="36"/>
    </row>
    <row r="1971" spans="13:17" x14ac:dyDescent="0.25">
      <c r="M1971" s="36"/>
      <c r="Q1971" s="36"/>
    </row>
    <row r="1972" spans="13:17" x14ac:dyDescent="0.25">
      <c r="M1972" s="36"/>
      <c r="Q1972" s="36"/>
    </row>
    <row r="1973" spans="13:17" x14ac:dyDescent="0.25">
      <c r="M1973" s="36"/>
      <c r="Q1973" s="36"/>
    </row>
    <row r="1974" spans="13:17" x14ac:dyDescent="0.25">
      <c r="M1974" s="36"/>
      <c r="Q1974" s="36"/>
    </row>
    <row r="1975" spans="13:17" x14ac:dyDescent="0.25">
      <c r="M1975" s="36"/>
      <c r="Q1975" s="36"/>
    </row>
    <row r="1976" spans="13:17" x14ac:dyDescent="0.25">
      <c r="M1976" s="36"/>
      <c r="Q1976" s="36"/>
    </row>
    <row r="1977" spans="13:17" x14ac:dyDescent="0.25">
      <c r="M1977" s="36"/>
      <c r="Q1977" s="36"/>
    </row>
    <row r="1978" spans="13:17" x14ac:dyDescent="0.25">
      <c r="M1978" s="36"/>
      <c r="Q1978" s="36"/>
    </row>
    <row r="1979" spans="13:17" x14ac:dyDescent="0.25">
      <c r="M1979" s="36"/>
      <c r="Q1979" s="36"/>
    </row>
    <row r="1980" spans="13:17" x14ac:dyDescent="0.25">
      <c r="M1980" s="36"/>
      <c r="Q1980" s="36"/>
    </row>
    <row r="1981" spans="13:17" x14ac:dyDescent="0.25">
      <c r="M1981" s="36"/>
      <c r="Q1981" s="36"/>
    </row>
    <row r="1982" spans="13:17" x14ac:dyDescent="0.25">
      <c r="M1982" s="36"/>
      <c r="Q1982" s="36"/>
    </row>
    <row r="1983" spans="13:17" x14ac:dyDescent="0.25">
      <c r="M1983" s="36"/>
      <c r="Q1983" s="36"/>
    </row>
    <row r="1984" spans="13:17" x14ac:dyDescent="0.25">
      <c r="M1984" s="36"/>
      <c r="Q1984" s="36"/>
    </row>
    <row r="1985" spans="13:17" x14ac:dyDescent="0.25">
      <c r="M1985" s="36"/>
      <c r="Q1985" s="36"/>
    </row>
    <row r="1986" spans="13:17" x14ac:dyDescent="0.25">
      <c r="M1986" s="36"/>
      <c r="Q1986" s="36"/>
    </row>
    <row r="1987" spans="13:17" x14ac:dyDescent="0.25">
      <c r="M1987" s="36"/>
      <c r="Q1987" s="36"/>
    </row>
    <row r="1988" spans="13:17" x14ac:dyDescent="0.25">
      <c r="M1988" s="36"/>
      <c r="Q1988" s="36"/>
    </row>
    <row r="1989" spans="13:17" x14ac:dyDescent="0.25">
      <c r="M1989" s="36"/>
      <c r="Q1989" s="36"/>
    </row>
    <row r="1990" spans="13:17" x14ac:dyDescent="0.25">
      <c r="M1990" s="36"/>
      <c r="Q1990" s="36"/>
    </row>
    <row r="1991" spans="13:17" x14ac:dyDescent="0.25">
      <c r="M1991" s="36"/>
      <c r="Q1991" s="36"/>
    </row>
    <row r="1992" spans="13:17" x14ac:dyDescent="0.25">
      <c r="M1992" s="36"/>
      <c r="Q1992" s="36"/>
    </row>
    <row r="1993" spans="13:17" x14ac:dyDescent="0.25">
      <c r="M1993" s="36"/>
      <c r="Q1993" s="36"/>
    </row>
    <row r="1994" spans="13:17" x14ac:dyDescent="0.25">
      <c r="M1994" s="36"/>
      <c r="Q1994" s="36"/>
    </row>
    <row r="1995" spans="13:17" x14ac:dyDescent="0.25">
      <c r="M1995" s="36"/>
      <c r="Q1995" s="36"/>
    </row>
    <row r="1996" spans="13:17" x14ac:dyDescent="0.25">
      <c r="M1996" s="36"/>
      <c r="Q1996" s="36"/>
    </row>
    <row r="1997" spans="13:17" x14ac:dyDescent="0.25">
      <c r="M1997" s="36"/>
      <c r="Q1997" s="36"/>
    </row>
    <row r="1998" spans="13:17" x14ac:dyDescent="0.25">
      <c r="M1998" s="36"/>
      <c r="Q1998" s="36"/>
    </row>
    <row r="1999" spans="13:17" x14ac:dyDescent="0.25">
      <c r="M1999" s="36"/>
      <c r="Q1999" s="36"/>
    </row>
    <row r="2000" spans="13:17" x14ac:dyDescent="0.25">
      <c r="M2000" s="36"/>
      <c r="Q2000" s="36"/>
    </row>
    <row r="2001" spans="13:17" x14ac:dyDescent="0.25">
      <c r="M2001" s="36"/>
      <c r="Q2001" s="36"/>
    </row>
    <row r="2002" spans="13:17" x14ac:dyDescent="0.25">
      <c r="M2002" s="36"/>
      <c r="Q2002" s="36"/>
    </row>
    <row r="2003" spans="13:17" x14ac:dyDescent="0.25">
      <c r="M2003" s="36"/>
      <c r="Q2003" s="36"/>
    </row>
    <row r="2004" spans="13:17" x14ac:dyDescent="0.25">
      <c r="M2004" s="36"/>
      <c r="Q2004" s="36"/>
    </row>
    <row r="2005" spans="13:17" x14ac:dyDescent="0.25">
      <c r="M2005" s="36"/>
      <c r="Q2005" s="36"/>
    </row>
    <row r="2006" spans="13:17" x14ac:dyDescent="0.25">
      <c r="M2006" s="36"/>
      <c r="Q2006" s="36"/>
    </row>
    <row r="2007" spans="13:17" x14ac:dyDescent="0.25">
      <c r="M2007" s="36"/>
      <c r="Q2007" s="36"/>
    </row>
    <row r="2008" spans="13:17" x14ac:dyDescent="0.25">
      <c r="M2008" s="36"/>
      <c r="Q2008" s="36"/>
    </row>
    <row r="2009" spans="13:17" x14ac:dyDescent="0.25">
      <c r="M2009" s="36"/>
      <c r="Q2009" s="36"/>
    </row>
    <row r="2010" spans="13:17" x14ac:dyDescent="0.25">
      <c r="M2010" s="36"/>
      <c r="Q2010" s="36"/>
    </row>
    <row r="2011" spans="13:17" x14ac:dyDescent="0.25">
      <c r="M2011" s="36"/>
      <c r="Q2011" s="36"/>
    </row>
    <row r="2012" spans="13:17" x14ac:dyDescent="0.25">
      <c r="M2012" s="36"/>
      <c r="Q2012" s="36"/>
    </row>
    <row r="2013" spans="13:17" x14ac:dyDescent="0.25">
      <c r="M2013" s="36"/>
      <c r="Q2013" s="36"/>
    </row>
    <row r="2014" spans="13:17" x14ac:dyDescent="0.25">
      <c r="M2014" s="36"/>
      <c r="Q2014" s="36"/>
    </row>
    <row r="2015" spans="13:17" x14ac:dyDescent="0.25">
      <c r="M2015" s="36"/>
      <c r="Q2015" s="36"/>
    </row>
    <row r="2016" spans="13:17" x14ac:dyDescent="0.25">
      <c r="M2016" s="36"/>
      <c r="Q2016" s="36"/>
    </row>
    <row r="2017" spans="13:17" x14ac:dyDescent="0.25">
      <c r="M2017" s="36"/>
      <c r="Q2017" s="36"/>
    </row>
    <row r="2018" spans="13:17" x14ac:dyDescent="0.25">
      <c r="M2018" s="36"/>
      <c r="Q2018" s="36"/>
    </row>
    <row r="2019" spans="13:17" x14ac:dyDescent="0.25">
      <c r="M2019" s="36"/>
      <c r="Q2019" s="36"/>
    </row>
    <row r="2020" spans="13:17" x14ac:dyDescent="0.25">
      <c r="M2020" s="36"/>
      <c r="Q2020" s="36"/>
    </row>
    <row r="2021" spans="13:17" x14ac:dyDescent="0.25">
      <c r="M2021" s="36"/>
      <c r="Q2021" s="36"/>
    </row>
    <row r="2022" spans="13:17" x14ac:dyDescent="0.25">
      <c r="M2022" s="36"/>
      <c r="Q2022" s="36"/>
    </row>
    <row r="2023" spans="13:17" x14ac:dyDescent="0.25">
      <c r="M2023" s="36"/>
      <c r="Q2023" s="36"/>
    </row>
    <row r="2024" spans="13:17" x14ac:dyDescent="0.25">
      <c r="M2024" s="36"/>
      <c r="Q2024" s="36"/>
    </row>
    <row r="2025" spans="13:17" x14ac:dyDescent="0.25">
      <c r="M2025" s="36"/>
      <c r="Q2025" s="36"/>
    </row>
    <row r="2026" spans="13:17" x14ac:dyDescent="0.25">
      <c r="M2026" s="36"/>
      <c r="Q2026" s="36"/>
    </row>
    <row r="2027" spans="13:17" x14ac:dyDescent="0.25">
      <c r="M2027" s="36"/>
      <c r="Q2027" s="36"/>
    </row>
    <row r="2028" spans="13:17" x14ac:dyDescent="0.25">
      <c r="M2028" s="36"/>
      <c r="Q2028" s="36"/>
    </row>
    <row r="2029" spans="13:17" x14ac:dyDescent="0.25">
      <c r="M2029" s="36"/>
      <c r="Q2029" s="36"/>
    </row>
    <row r="2030" spans="13:17" x14ac:dyDescent="0.25">
      <c r="M2030" s="36"/>
      <c r="Q2030" s="36"/>
    </row>
    <row r="2031" spans="13:17" x14ac:dyDescent="0.25">
      <c r="M2031" s="36"/>
      <c r="Q2031" s="36"/>
    </row>
    <row r="2032" spans="13:17" x14ac:dyDescent="0.25">
      <c r="M2032" s="36"/>
      <c r="Q2032" s="36"/>
    </row>
    <row r="2033" spans="13:17" x14ac:dyDescent="0.25">
      <c r="M2033" s="36"/>
      <c r="Q2033" s="36"/>
    </row>
    <row r="2034" spans="13:17" x14ac:dyDescent="0.25">
      <c r="M2034" s="36"/>
      <c r="Q2034" s="36"/>
    </row>
    <row r="2035" spans="13:17" x14ac:dyDescent="0.25">
      <c r="M2035" s="36"/>
      <c r="Q2035" s="36"/>
    </row>
    <row r="2036" spans="13:17" x14ac:dyDescent="0.25">
      <c r="M2036" s="36"/>
      <c r="Q2036" s="36"/>
    </row>
    <row r="2037" spans="13:17" x14ac:dyDescent="0.25">
      <c r="M2037" s="36"/>
      <c r="Q2037" s="36"/>
    </row>
    <row r="2038" spans="13:17" x14ac:dyDescent="0.25">
      <c r="M2038" s="36"/>
      <c r="Q2038" s="36"/>
    </row>
    <row r="2039" spans="13:17" x14ac:dyDescent="0.25">
      <c r="M2039" s="36"/>
      <c r="Q2039" s="36"/>
    </row>
    <row r="2040" spans="13:17" x14ac:dyDescent="0.25">
      <c r="M2040" s="36"/>
      <c r="Q2040" s="36"/>
    </row>
    <row r="2041" spans="13:17" x14ac:dyDescent="0.25">
      <c r="M2041" s="36"/>
      <c r="Q2041" s="36"/>
    </row>
    <row r="2042" spans="13:17" x14ac:dyDescent="0.25">
      <c r="M2042" s="36"/>
      <c r="Q2042" s="36"/>
    </row>
    <row r="2043" spans="13:17" x14ac:dyDescent="0.25">
      <c r="M2043" s="36"/>
      <c r="Q2043" s="36"/>
    </row>
    <row r="2044" spans="13:17" x14ac:dyDescent="0.25">
      <c r="M2044" s="36"/>
      <c r="Q2044" s="36"/>
    </row>
    <row r="2045" spans="13:17" x14ac:dyDescent="0.25">
      <c r="M2045" s="36"/>
      <c r="Q2045" s="36"/>
    </row>
    <row r="2046" spans="13:17" x14ac:dyDescent="0.25">
      <c r="M2046" s="36"/>
      <c r="Q2046" s="36"/>
    </row>
    <row r="2047" spans="13:17" x14ac:dyDescent="0.25">
      <c r="M2047" s="36"/>
      <c r="Q2047" s="36"/>
    </row>
    <row r="2048" spans="13:17" x14ac:dyDescent="0.25">
      <c r="M2048" s="36"/>
      <c r="Q2048" s="36"/>
    </row>
    <row r="2049" spans="13:17" x14ac:dyDescent="0.25">
      <c r="M2049" s="36"/>
      <c r="Q2049" s="36"/>
    </row>
    <row r="2050" spans="13:17" x14ac:dyDescent="0.25">
      <c r="M2050" s="36"/>
      <c r="Q2050" s="36"/>
    </row>
    <row r="2051" spans="13:17" x14ac:dyDescent="0.25">
      <c r="M2051" s="36"/>
      <c r="Q2051" s="36"/>
    </row>
    <row r="2052" spans="13:17" x14ac:dyDescent="0.25">
      <c r="M2052" s="36"/>
      <c r="Q2052" s="36"/>
    </row>
    <row r="2053" spans="13:17" x14ac:dyDescent="0.25">
      <c r="M2053" s="36"/>
      <c r="Q2053" s="36"/>
    </row>
    <row r="2054" spans="13:17" x14ac:dyDescent="0.25">
      <c r="M2054" s="36"/>
      <c r="Q2054" s="36"/>
    </row>
    <row r="2055" spans="13:17" x14ac:dyDescent="0.25">
      <c r="M2055" s="36"/>
      <c r="Q2055" s="36"/>
    </row>
    <row r="2056" spans="13:17" x14ac:dyDescent="0.25">
      <c r="M2056" s="36"/>
      <c r="Q2056" s="36"/>
    </row>
    <row r="2057" spans="13:17" x14ac:dyDescent="0.25">
      <c r="M2057" s="36"/>
      <c r="Q2057" s="36"/>
    </row>
    <row r="2058" spans="13:17" x14ac:dyDescent="0.25">
      <c r="M2058" s="36"/>
      <c r="Q2058" s="36"/>
    </row>
    <row r="2059" spans="13:17" x14ac:dyDescent="0.25">
      <c r="M2059" s="36"/>
      <c r="Q2059" s="36"/>
    </row>
    <row r="2060" spans="13:17" x14ac:dyDescent="0.25">
      <c r="M2060" s="36"/>
      <c r="Q2060" s="36"/>
    </row>
    <row r="2061" spans="13:17" x14ac:dyDescent="0.25">
      <c r="M2061" s="36"/>
      <c r="Q2061" s="36"/>
    </row>
    <row r="2062" spans="13:17" x14ac:dyDescent="0.25">
      <c r="M2062" s="36"/>
      <c r="Q2062" s="36"/>
    </row>
    <row r="2063" spans="13:17" x14ac:dyDescent="0.25">
      <c r="M2063" s="36"/>
      <c r="Q2063" s="36"/>
    </row>
    <row r="2064" spans="13:17" x14ac:dyDescent="0.25">
      <c r="M2064" s="36"/>
      <c r="Q2064" s="36"/>
    </row>
    <row r="2065" spans="13:17" x14ac:dyDescent="0.25">
      <c r="M2065" s="36"/>
      <c r="Q2065" s="36"/>
    </row>
    <row r="2066" spans="13:17" x14ac:dyDescent="0.25">
      <c r="M2066" s="36"/>
      <c r="Q2066" s="36"/>
    </row>
    <row r="2067" spans="13:17" x14ac:dyDescent="0.25">
      <c r="M2067" s="36"/>
      <c r="Q2067" s="36"/>
    </row>
    <row r="2068" spans="13:17" x14ac:dyDescent="0.25">
      <c r="M2068" s="36"/>
      <c r="Q2068" s="36"/>
    </row>
    <row r="2069" spans="13:17" x14ac:dyDescent="0.25">
      <c r="M2069" s="36"/>
      <c r="Q2069" s="36"/>
    </row>
    <row r="2070" spans="13:17" x14ac:dyDescent="0.25">
      <c r="M2070" s="36"/>
      <c r="Q2070" s="36"/>
    </row>
    <row r="2071" spans="13:17" x14ac:dyDescent="0.25">
      <c r="M2071" s="36"/>
      <c r="Q2071" s="36"/>
    </row>
    <row r="2072" spans="13:17" x14ac:dyDescent="0.25">
      <c r="M2072" s="36"/>
      <c r="Q2072" s="36"/>
    </row>
    <row r="2073" spans="13:17" x14ac:dyDescent="0.25">
      <c r="M2073" s="36"/>
      <c r="Q2073" s="36"/>
    </row>
    <row r="2074" spans="13:17" x14ac:dyDescent="0.25">
      <c r="M2074" s="36"/>
      <c r="Q2074" s="36"/>
    </row>
    <row r="2075" spans="13:17" x14ac:dyDescent="0.25">
      <c r="M2075" s="36"/>
      <c r="Q2075" s="36"/>
    </row>
    <row r="2076" spans="13:17" x14ac:dyDescent="0.25">
      <c r="M2076" s="36"/>
      <c r="Q2076" s="36"/>
    </row>
    <row r="2077" spans="13:17" x14ac:dyDescent="0.25">
      <c r="M2077" s="36"/>
      <c r="Q2077" s="36"/>
    </row>
    <row r="2078" spans="13:17" x14ac:dyDescent="0.25">
      <c r="M2078" s="36"/>
      <c r="Q2078" s="36"/>
    </row>
    <row r="2079" spans="13:17" x14ac:dyDescent="0.25">
      <c r="M2079" s="36"/>
      <c r="Q2079" s="36"/>
    </row>
    <row r="2080" spans="13:17" x14ac:dyDescent="0.25">
      <c r="M2080" s="36"/>
      <c r="Q2080" s="36"/>
    </row>
    <row r="2081" spans="13:17" x14ac:dyDescent="0.25">
      <c r="M2081" s="36"/>
      <c r="Q2081" s="36"/>
    </row>
    <row r="2082" spans="13:17" x14ac:dyDescent="0.25">
      <c r="M2082" s="36"/>
      <c r="Q2082" s="36"/>
    </row>
    <row r="2083" spans="13:17" x14ac:dyDescent="0.25">
      <c r="M2083" s="36"/>
      <c r="Q2083" s="36"/>
    </row>
    <row r="2084" spans="13:17" x14ac:dyDescent="0.25">
      <c r="M2084" s="36"/>
      <c r="Q2084" s="36"/>
    </row>
    <row r="2085" spans="13:17" x14ac:dyDescent="0.25">
      <c r="M2085" s="36"/>
      <c r="Q2085" s="36"/>
    </row>
    <row r="2086" spans="13:17" x14ac:dyDescent="0.25">
      <c r="M2086" s="36"/>
      <c r="Q2086" s="36"/>
    </row>
    <row r="2087" spans="13:17" x14ac:dyDescent="0.25">
      <c r="M2087" s="36"/>
      <c r="Q2087" s="36"/>
    </row>
    <row r="2088" spans="13:17" x14ac:dyDescent="0.25">
      <c r="M2088" s="36"/>
      <c r="Q2088" s="36"/>
    </row>
    <row r="2089" spans="13:17" x14ac:dyDescent="0.25">
      <c r="M2089" s="36"/>
      <c r="Q2089" s="36"/>
    </row>
    <row r="2090" spans="13:17" x14ac:dyDescent="0.25">
      <c r="M2090" s="36"/>
      <c r="Q2090" s="36"/>
    </row>
    <row r="2091" spans="13:17" x14ac:dyDescent="0.25">
      <c r="M2091" s="36"/>
      <c r="Q2091" s="36"/>
    </row>
    <row r="2092" spans="13:17" x14ac:dyDescent="0.25">
      <c r="M2092" s="36"/>
      <c r="Q2092" s="36"/>
    </row>
    <row r="2093" spans="13:17" x14ac:dyDescent="0.25">
      <c r="M2093" s="36"/>
      <c r="Q2093" s="36"/>
    </row>
    <row r="2094" spans="13:17" x14ac:dyDescent="0.25">
      <c r="M2094" s="36"/>
      <c r="Q2094" s="36"/>
    </row>
    <row r="2095" spans="13:17" x14ac:dyDescent="0.25">
      <c r="M2095" s="36"/>
      <c r="Q2095" s="36"/>
    </row>
    <row r="2096" spans="13:17" x14ac:dyDescent="0.25">
      <c r="M2096" s="36"/>
      <c r="Q2096" s="36"/>
    </row>
    <row r="2097" spans="13:17" x14ac:dyDescent="0.25">
      <c r="M2097" s="36"/>
      <c r="Q2097" s="36"/>
    </row>
    <row r="2098" spans="13:17" x14ac:dyDescent="0.25">
      <c r="M2098" s="36"/>
      <c r="Q2098" s="36"/>
    </row>
    <row r="2099" spans="13:17" x14ac:dyDescent="0.25">
      <c r="M2099" s="36"/>
      <c r="Q2099" s="36"/>
    </row>
    <row r="2100" spans="13:17" x14ac:dyDescent="0.25">
      <c r="M2100" s="36"/>
      <c r="Q2100" s="36"/>
    </row>
    <row r="2101" spans="13:17" x14ac:dyDescent="0.25">
      <c r="M2101" s="36"/>
      <c r="Q2101" s="36"/>
    </row>
    <row r="2102" spans="13:17" x14ac:dyDescent="0.25">
      <c r="M2102" s="36"/>
      <c r="Q2102" s="36"/>
    </row>
    <row r="2103" spans="13:17" x14ac:dyDescent="0.25">
      <c r="M2103" s="36"/>
      <c r="Q2103" s="36"/>
    </row>
    <row r="2104" spans="13:17" x14ac:dyDescent="0.25">
      <c r="M2104" s="36"/>
      <c r="Q2104" s="36"/>
    </row>
    <row r="2105" spans="13:17" x14ac:dyDescent="0.25">
      <c r="M2105" s="36"/>
      <c r="Q2105" s="36"/>
    </row>
    <row r="2106" spans="13:17" x14ac:dyDescent="0.25">
      <c r="M2106" s="36"/>
      <c r="Q2106" s="36"/>
    </row>
    <row r="2107" spans="13:17" x14ac:dyDescent="0.25">
      <c r="M2107" s="36"/>
      <c r="Q2107" s="36"/>
    </row>
    <row r="2108" spans="13:17" x14ac:dyDescent="0.25">
      <c r="M2108" s="36"/>
      <c r="Q2108" s="36"/>
    </row>
    <row r="2109" spans="13:17" x14ac:dyDescent="0.25">
      <c r="M2109" s="36"/>
      <c r="Q2109" s="36"/>
    </row>
    <row r="2110" spans="13:17" x14ac:dyDescent="0.25">
      <c r="M2110" s="36"/>
      <c r="Q2110" s="36"/>
    </row>
    <row r="2111" spans="13:17" x14ac:dyDescent="0.25">
      <c r="M2111" s="36"/>
      <c r="Q2111" s="36"/>
    </row>
    <row r="2112" spans="13:17" x14ac:dyDescent="0.25">
      <c r="M2112" s="36"/>
      <c r="Q2112" s="36"/>
    </row>
    <row r="2113" spans="13:17" x14ac:dyDescent="0.25">
      <c r="M2113" s="36"/>
      <c r="Q2113" s="36"/>
    </row>
    <row r="2114" spans="13:17" x14ac:dyDescent="0.25">
      <c r="M2114" s="36"/>
      <c r="Q2114" s="36"/>
    </row>
    <row r="2115" spans="13:17" x14ac:dyDescent="0.25">
      <c r="M2115" s="36"/>
      <c r="Q2115" s="36"/>
    </row>
    <row r="2116" spans="13:17" x14ac:dyDescent="0.25">
      <c r="M2116" s="36"/>
      <c r="Q2116" s="36"/>
    </row>
    <row r="2117" spans="13:17" x14ac:dyDescent="0.25">
      <c r="M2117" s="36"/>
      <c r="Q2117" s="36"/>
    </row>
    <row r="2118" spans="13:17" x14ac:dyDescent="0.25">
      <c r="M2118" s="36"/>
      <c r="Q2118" s="36"/>
    </row>
    <row r="2119" spans="13:17" x14ac:dyDescent="0.25">
      <c r="M2119" s="36"/>
      <c r="Q2119" s="36"/>
    </row>
    <row r="2120" spans="13:17" x14ac:dyDescent="0.25">
      <c r="M2120" s="36"/>
      <c r="Q2120" s="36"/>
    </row>
    <row r="2121" spans="13:17" x14ac:dyDescent="0.25">
      <c r="M2121" s="36"/>
      <c r="Q2121" s="36"/>
    </row>
    <row r="2122" spans="13:17" x14ac:dyDescent="0.25">
      <c r="M2122" s="36"/>
      <c r="Q2122" s="36"/>
    </row>
    <row r="2123" spans="13:17" x14ac:dyDescent="0.25">
      <c r="M2123" s="36"/>
      <c r="Q2123" s="36"/>
    </row>
    <row r="2124" spans="13:17" x14ac:dyDescent="0.25">
      <c r="M2124" s="36"/>
      <c r="Q2124" s="36"/>
    </row>
    <row r="2125" spans="13:17" x14ac:dyDescent="0.25">
      <c r="M2125" s="36"/>
      <c r="Q2125" s="36"/>
    </row>
    <row r="2126" spans="13:17" x14ac:dyDescent="0.25">
      <c r="M2126" s="36"/>
      <c r="Q2126" s="36"/>
    </row>
    <row r="2127" spans="13:17" x14ac:dyDescent="0.25">
      <c r="M2127" s="36"/>
      <c r="Q2127" s="36"/>
    </row>
    <row r="2128" spans="13:17" x14ac:dyDescent="0.25">
      <c r="M2128" s="36"/>
      <c r="Q2128" s="36"/>
    </row>
    <row r="2129" spans="13:17" x14ac:dyDescent="0.25">
      <c r="M2129" s="36"/>
      <c r="Q2129" s="36"/>
    </row>
    <row r="2130" spans="13:17" x14ac:dyDescent="0.25">
      <c r="M2130" s="36"/>
      <c r="Q2130" s="36"/>
    </row>
    <row r="2131" spans="13:17" x14ac:dyDescent="0.25">
      <c r="M2131" s="36"/>
      <c r="Q2131" s="36"/>
    </row>
    <row r="2132" spans="13:17" x14ac:dyDescent="0.25">
      <c r="M2132" s="36"/>
      <c r="Q2132" s="36"/>
    </row>
    <row r="2133" spans="13:17" x14ac:dyDescent="0.25">
      <c r="M2133" s="36"/>
      <c r="Q2133" s="36"/>
    </row>
    <row r="2134" spans="13:17" x14ac:dyDescent="0.25">
      <c r="M2134" s="36"/>
      <c r="Q2134" s="36"/>
    </row>
    <row r="2135" spans="13:17" x14ac:dyDescent="0.25">
      <c r="M2135" s="36"/>
      <c r="Q2135" s="36"/>
    </row>
    <row r="2136" spans="13:17" x14ac:dyDescent="0.25">
      <c r="M2136" s="36"/>
      <c r="Q2136" s="36"/>
    </row>
    <row r="2137" spans="13:17" x14ac:dyDescent="0.25">
      <c r="M2137" s="36"/>
      <c r="Q2137" s="36"/>
    </row>
    <row r="2138" spans="13:17" x14ac:dyDescent="0.25">
      <c r="M2138" s="36"/>
      <c r="Q2138" s="36"/>
    </row>
    <row r="2139" spans="13:17" x14ac:dyDescent="0.25">
      <c r="M2139" s="36"/>
      <c r="Q2139" s="36"/>
    </row>
    <row r="2140" spans="13:17" x14ac:dyDescent="0.25">
      <c r="M2140" s="36"/>
      <c r="Q2140" s="36"/>
    </row>
    <row r="2141" spans="13:17" x14ac:dyDescent="0.25">
      <c r="M2141" s="36"/>
      <c r="Q2141" s="36"/>
    </row>
    <row r="2142" spans="13:17" x14ac:dyDescent="0.25">
      <c r="M2142" s="36"/>
      <c r="Q2142" s="36"/>
    </row>
    <row r="2143" spans="13:17" x14ac:dyDescent="0.25">
      <c r="M2143" s="36"/>
      <c r="Q2143" s="36"/>
    </row>
    <row r="2144" spans="13:17" x14ac:dyDescent="0.25">
      <c r="M2144" s="36"/>
      <c r="Q2144" s="36"/>
    </row>
    <row r="2145" spans="13:17" x14ac:dyDescent="0.25">
      <c r="M2145" s="36"/>
      <c r="Q2145" s="36"/>
    </row>
    <row r="2146" spans="13:17" x14ac:dyDescent="0.25">
      <c r="M2146" s="36"/>
      <c r="Q2146" s="36"/>
    </row>
    <row r="2147" spans="13:17" x14ac:dyDescent="0.25">
      <c r="M2147" s="36"/>
      <c r="Q2147" s="36"/>
    </row>
    <row r="2148" spans="13:17" x14ac:dyDescent="0.25">
      <c r="M2148" s="36"/>
      <c r="Q2148" s="36"/>
    </row>
    <row r="2149" spans="13:17" x14ac:dyDescent="0.25">
      <c r="M2149" s="36"/>
      <c r="Q2149" s="36"/>
    </row>
    <row r="2150" spans="13:17" x14ac:dyDescent="0.25">
      <c r="M2150" s="36"/>
      <c r="Q2150" s="36"/>
    </row>
    <row r="2151" spans="13:17" x14ac:dyDescent="0.25">
      <c r="M2151" s="36"/>
      <c r="Q2151" s="36"/>
    </row>
    <row r="2152" spans="13:17" x14ac:dyDescent="0.25">
      <c r="M2152" s="36"/>
      <c r="Q2152" s="36"/>
    </row>
    <row r="2153" spans="13:17" x14ac:dyDescent="0.25">
      <c r="M2153" s="36"/>
      <c r="Q2153" s="36"/>
    </row>
    <row r="2154" spans="13:17" x14ac:dyDescent="0.25">
      <c r="M2154" s="36"/>
      <c r="Q2154" s="36"/>
    </row>
    <row r="2155" spans="13:17" x14ac:dyDescent="0.25">
      <c r="M2155" s="36"/>
      <c r="Q2155" s="36"/>
    </row>
    <row r="2156" spans="13:17" x14ac:dyDescent="0.25">
      <c r="M2156" s="36"/>
      <c r="Q2156" s="36"/>
    </row>
    <row r="2157" spans="13:17" x14ac:dyDescent="0.25">
      <c r="M2157" s="36"/>
      <c r="Q2157" s="36"/>
    </row>
    <row r="2158" spans="13:17" x14ac:dyDescent="0.25">
      <c r="M2158" s="36"/>
      <c r="Q2158" s="36"/>
    </row>
    <row r="2159" spans="13:17" x14ac:dyDescent="0.25">
      <c r="M2159" s="36"/>
      <c r="Q2159" s="36"/>
    </row>
    <row r="2160" spans="13:17" x14ac:dyDescent="0.25">
      <c r="M2160" s="36"/>
      <c r="Q2160" s="36"/>
    </row>
    <row r="2161" spans="13:17" x14ac:dyDescent="0.25">
      <c r="M2161" s="36"/>
      <c r="Q2161" s="36"/>
    </row>
    <row r="2162" spans="13:17" x14ac:dyDescent="0.25">
      <c r="M2162" s="36"/>
      <c r="Q2162" s="36"/>
    </row>
    <row r="2163" spans="13:17" x14ac:dyDescent="0.25">
      <c r="M2163" s="36"/>
      <c r="Q2163" s="36"/>
    </row>
    <row r="2164" spans="13:17" x14ac:dyDescent="0.25">
      <c r="M2164" s="36"/>
      <c r="Q2164" s="36"/>
    </row>
    <row r="2165" spans="13:17" x14ac:dyDescent="0.25">
      <c r="M2165" s="36"/>
      <c r="Q2165" s="36"/>
    </row>
    <row r="2166" spans="13:17" x14ac:dyDescent="0.25">
      <c r="M2166" s="36"/>
      <c r="Q2166" s="36"/>
    </row>
    <row r="2167" spans="13:17" x14ac:dyDescent="0.25">
      <c r="M2167" s="36"/>
      <c r="Q2167" s="36"/>
    </row>
    <row r="2168" spans="13:17" x14ac:dyDescent="0.25">
      <c r="M2168" s="36"/>
      <c r="Q2168" s="36"/>
    </row>
    <row r="2169" spans="13:17" x14ac:dyDescent="0.25">
      <c r="M2169" s="36"/>
      <c r="Q2169" s="36"/>
    </row>
    <row r="2170" spans="13:17" x14ac:dyDescent="0.25">
      <c r="M2170" s="36"/>
      <c r="Q2170" s="36"/>
    </row>
    <row r="2171" spans="13:17" x14ac:dyDescent="0.25">
      <c r="M2171" s="36"/>
      <c r="Q2171" s="36"/>
    </row>
    <row r="2172" spans="13:17" x14ac:dyDescent="0.25">
      <c r="M2172" s="36"/>
      <c r="Q2172" s="36"/>
    </row>
    <row r="2173" spans="13:17" x14ac:dyDescent="0.25">
      <c r="M2173" s="36"/>
      <c r="Q2173" s="36"/>
    </row>
    <row r="2174" spans="13:17" x14ac:dyDescent="0.25">
      <c r="M2174" s="36"/>
      <c r="Q2174" s="36"/>
    </row>
    <row r="2175" spans="13:17" x14ac:dyDescent="0.25">
      <c r="M2175" s="36"/>
      <c r="Q2175" s="36"/>
    </row>
    <row r="2176" spans="13:17" x14ac:dyDescent="0.25">
      <c r="M2176" s="36"/>
      <c r="Q2176" s="36"/>
    </row>
    <row r="2177" spans="13:17" x14ac:dyDescent="0.25">
      <c r="M2177" s="36"/>
      <c r="Q2177" s="36"/>
    </row>
    <row r="2178" spans="13:17" x14ac:dyDescent="0.25">
      <c r="M2178" s="36"/>
      <c r="Q2178" s="36"/>
    </row>
    <row r="2179" spans="13:17" x14ac:dyDescent="0.25">
      <c r="M2179" s="36"/>
      <c r="Q2179" s="36"/>
    </row>
    <row r="2180" spans="13:17" x14ac:dyDescent="0.25">
      <c r="M2180" s="36"/>
      <c r="Q2180" s="36"/>
    </row>
    <row r="2181" spans="13:17" x14ac:dyDescent="0.25">
      <c r="M2181" s="36"/>
      <c r="Q2181" s="36"/>
    </row>
    <row r="2182" spans="13:17" x14ac:dyDescent="0.25">
      <c r="M2182" s="36"/>
      <c r="Q2182" s="36"/>
    </row>
    <row r="2183" spans="13:17" x14ac:dyDescent="0.25">
      <c r="M2183" s="36"/>
      <c r="Q2183" s="36"/>
    </row>
    <row r="2184" spans="13:17" x14ac:dyDescent="0.25">
      <c r="M2184" s="36"/>
      <c r="Q2184" s="36"/>
    </row>
    <row r="2185" spans="13:17" x14ac:dyDescent="0.25">
      <c r="M2185" s="36"/>
      <c r="Q2185" s="36"/>
    </row>
    <row r="2186" spans="13:17" x14ac:dyDescent="0.25">
      <c r="M2186" s="36"/>
      <c r="Q2186" s="36"/>
    </row>
    <row r="2187" spans="13:17" x14ac:dyDescent="0.25">
      <c r="M2187" s="36"/>
      <c r="Q2187" s="36"/>
    </row>
    <row r="2188" spans="13:17" x14ac:dyDescent="0.25">
      <c r="M2188" s="36"/>
      <c r="Q2188" s="36"/>
    </row>
    <row r="2189" spans="13:17" x14ac:dyDescent="0.25">
      <c r="M2189" s="36"/>
      <c r="Q2189" s="36"/>
    </row>
    <row r="2190" spans="13:17" x14ac:dyDescent="0.25">
      <c r="M2190" s="36"/>
      <c r="Q2190" s="36"/>
    </row>
    <row r="2191" spans="13:17" x14ac:dyDescent="0.25">
      <c r="M2191" s="36"/>
      <c r="Q2191" s="36"/>
    </row>
    <row r="2192" spans="13:17" x14ac:dyDescent="0.25">
      <c r="M2192" s="36"/>
      <c r="Q2192" s="36"/>
    </row>
    <row r="2193" spans="13:17" x14ac:dyDescent="0.25">
      <c r="M2193" s="36"/>
      <c r="Q2193" s="36"/>
    </row>
    <row r="2194" spans="13:17" x14ac:dyDescent="0.25">
      <c r="M2194" s="36"/>
      <c r="Q2194" s="36"/>
    </row>
    <row r="2195" spans="13:17" x14ac:dyDescent="0.25">
      <c r="M2195" s="36"/>
      <c r="Q2195" s="36"/>
    </row>
    <row r="2196" spans="13:17" x14ac:dyDescent="0.25">
      <c r="M2196" s="36"/>
      <c r="Q2196" s="36"/>
    </row>
    <row r="2197" spans="13:17" x14ac:dyDescent="0.25">
      <c r="M2197" s="36"/>
      <c r="Q2197" s="36"/>
    </row>
    <row r="2198" spans="13:17" x14ac:dyDescent="0.25">
      <c r="M2198" s="36"/>
      <c r="Q2198" s="36"/>
    </row>
    <row r="2199" spans="13:17" x14ac:dyDescent="0.25">
      <c r="M2199" s="36"/>
      <c r="Q2199" s="36"/>
    </row>
    <row r="2200" spans="13:17" x14ac:dyDescent="0.25">
      <c r="M2200" s="36"/>
      <c r="Q2200" s="36"/>
    </row>
    <row r="2201" spans="13:17" x14ac:dyDescent="0.25">
      <c r="M2201" s="36"/>
      <c r="Q2201" s="36"/>
    </row>
    <row r="2202" spans="13:17" x14ac:dyDescent="0.25">
      <c r="M2202" s="36"/>
      <c r="Q2202" s="36"/>
    </row>
    <row r="2203" spans="13:17" x14ac:dyDescent="0.25">
      <c r="M2203" s="36"/>
      <c r="Q2203" s="36"/>
    </row>
    <row r="2204" spans="13:17" x14ac:dyDescent="0.25">
      <c r="M2204" s="36"/>
      <c r="Q2204" s="36"/>
    </row>
    <row r="2205" spans="13:17" x14ac:dyDescent="0.25">
      <c r="M2205" s="36"/>
      <c r="Q2205" s="36"/>
    </row>
    <row r="2206" spans="13:17" x14ac:dyDescent="0.25">
      <c r="M2206" s="36"/>
      <c r="Q2206" s="36"/>
    </row>
    <row r="2207" spans="13:17" x14ac:dyDescent="0.25">
      <c r="M2207" s="36"/>
      <c r="Q2207" s="36"/>
    </row>
    <row r="2208" spans="13:17" x14ac:dyDescent="0.25">
      <c r="M2208" s="36"/>
      <c r="Q2208" s="36"/>
    </row>
    <row r="2209" spans="13:17" x14ac:dyDescent="0.25">
      <c r="M2209" s="36"/>
      <c r="Q2209" s="36"/>
    </row>
    <row r="2210" spans="13:17" x14ac:dyDescent="0.25">
      <c r="M2210" s="36"/>
      <c r="Q2210" s="36"/>
    </row>
    <row r="2211" spans="13:17" x14ac:dyDescent="0.25">
      <c r="M2211" s="36"/>
      <c r="Q2211" s="36"/>
    </row>
    <row r="2212" spans="13:17" x14ac:dyDescent="0.25">
      <c r="M2212" s="36"/>
      <c r="Q2212" s="36"/>
    </row>
    <row r="2213" spans="13:17" x14ac:dyDescent="0.25">
      <c r="M2213" s="36"/>
      <c r="Q2213" s="36"/>
    </row>
    <row r="2214" spans="13:17" x14ac:dyDescent="0.25">
      <c r="M2214" s="36"/>
      <c r="Q2214" s="36"/>
    </row>
    <row r="2215" spans="13:17" x14ac:dyDescent="0.25">
      <c r="M2215" s="36"/>
      <c r="Q2215" s="36"/>
    </row>
    <row r="2216" spans="13:17" x14ac:dyDescent="0.25">
      <c r="M2216" s="36"/>
      <c r="Q2216" s="36"/>
    </row>
    <row r="2217" spans="13:17" x14ac:dyDescent="0.25">
      <c r="M2217" s="36"/>
      <c r="Q2217" s="36"/>
    </row>
    <row r="2218" spans="13:17" x14ac:dyDescent="0.25">
      <c r="M2218" s="36"/>
      <c r="Q2218" s="36"/>
    </row>
    <row r="2219" spans="13:17" x14ac:dyDescent="0.25">
      <c r="M2219" s="36"/>
      <c r="Q2219" s="36"/>
    </row>
    <row r="2220" spans="13:17" x14ac:dyDescent="0.25">
      <c r="M2220" s="36"/>
      <c r="Q2220" s="36"/>
    </row>
    <row r="2221" spans="13:17" x14ac:dyDescent="0.25">
      <c r="M2221" s="36"/>
      <c r="Q2221" s="36"/>
    </row>
    <row r="2222" spans="13:17" x14ac:dyDescent="0.25">
      <c r="M2222" s="36"/>
      <c r="Q2222" s="36"/>
    </row>
    <row r="2223" spans="13:17" x14ac:dyDescent="0.25">
      <c r="M2223" s="36"/>
      <c r="Q2223" s="36"/>
    </row>
    <row r="2224" spans="13:17" x14ac:dyDescent="0.25">
      <c r="M2224" s="36"/>
      <c r="Q2224" s="36"/>
    </row>
    <row r="2225" spans="13:17" x14ac:dyDescent="0.25">
      <c r="M2225" s="36"/>
      <c r="Q2225" s="36"/>
    </row>
    <row r="2226" spans="13:17" x14ac:dyDescent="0.25">
      <c r="M2226" s="36"/>
      <c r="Q2226" s="36"/>
    </row>
    <row r="2227" spans="13:17" x14ac:dyDescent="0.25">
      <c r="M2227" s="36"/>
      <c r="Q2227" s="36"/>
    </row>
    <row r="2228" spans="13:17" x14ac:dyDescent="0.25">
      <c r="M2228" s="36"/>
      <c r="Q2228" s="36"/>
    </row>
    <row r="2229" spans="13:17" x14ac:dyDescent="0.25">
      <c r="M2229" s="36"/>
      <c r="Q2229" s="36"/>
    </row>
    <row r="2230" spans="13:17" x14ac:dyDescent="0.25">
      <c r="M2230" s="36"/>
      <c r="Q2230" s="36"/>
    </row>
    <row r="2231" spans="13:17" x14ac:dyDescent="0.25">
      <c r="M2231" s="36"/>
      <c r="Q2231" s="36"/>
    </row>
    <row r="2232" spans="13:17" x14ac:dyDescent="0.25">
      <c r="M2232" s="36"/>
      <c r="Q2232" s="36"/>
    </row>
    <row r="2233" spans="13:17" x14ac:dyDescent="0.25">
      <c r="M2233" s="36"/>
      <c r="Q2233" s="36"/>
    </row>
    <row r="2234" spans="13:17" x14ac:dyDescent="0.25">
      <c r="M2234" s="36"/>
      <c r="Q2234" s="36"/>
    </row>
    <row r="2235" spans="13:17" x14ac:dyDescent="0.25">
      <c r="M2235" s="36"/>
      <c r="Q2235" s="36"/>
    </row>
    <row r="2236" spans="13:17" x14ac:dyDescent="0.25">
      <c r="M2236" s="36"/>
      <c r="Q2236" s="36"/>
    </row>
    <row r="2237" spans="13:17" x14ac:dyDescent="0.25">
      <c r="M2237" s="36"/>
      <c r="Q2237" s="36"/>
    </row>
    <row r="2238" spans="13:17" x14ac:dyDescent="0.25">
      <c r="M2238" s="36"/>
      <c r="Q2238" s="36"/>
    </row>
    <row r="2239" spans="13:17" x14ac:dyDescent="0.25">
      <c r="M2239" s="36"/>
      <c r="Q2239" s="36"/>
    </row>
    <row r="2240" spans="13:17" x14ac:dyDescent="0.25">
      <c r="M2240" s="36"/>
      <c r="Q2240" s="36"/>
    </row>
    <row r="2241" spans="13:17" x14ac:dyDescent="0.25">
      <c r="M2241" s="36"/>
      <c r="Q2241" s="36"/>
    </row>
    <row r="2242" spans="13:17" x14ac:dyDescent="0.25">
      <c r="M2242" s="36"/>
      <c r="Q2242" s="36"/>
    </row>
    <row r="2243" spans="13:17" x14ac:dyDescent="0.25">
      <c r="M2243" s="36"/>
      <c r="Q2243" s="36"/>
    </row>
    <row r="2244" spans="13:17" x14ac:dyDescent="0.25">
      <c r="M2244" s="36"/>
      <c r="Q2244" s="36"/>
    </row>
    <row r="2245" spans="13:17" x14ac:dyDescent="0.25">
      <c r="M2245" s="36"/>
      <c r="Q2245" s="36"/>
    </row>
    <row r="2246" spans="13:17" x14ac:dyDescent="0.25">
      <c r="M2246" s="36"/>
      <c r="Q2246" s="36"/>
    </row>
    <row r="2247" spans="13:17" x14ac:dyDescent="0.25">
      <c r="M2247" s="36"/>
      <c r="Q2247" s="36"/>
    </row>
    <row r="2248" spans="13:17" x14ac:dyDescent="0.25">
      <c r="M2248" s="36"/>
      <c r="Q2248" s="36"/>
    </row>
    <row r="2249" spans="13:17" x14ac:dyDescent="0.25">
      <c r="M2249" s="36"/>
      <c r="Q2249" s="36"/>
    </row>
    <row r="2250" spans="13:17" x14ac:dyDescent="0.25">
      <c r="M2250" s="36"/>
      <c r="Q2250" s="36"/>
    </row>
    <row r="2251" spans="13:17" x14ac:dyDescent="0.25">
      <c r="M2251" s="36"/>
      <c r="Q2251" s="36"/>
    </row>
    <row r="2252" spans="13:17" x14ac:dyDescent="0.25">
      <c r="M2252" s="36"/>
      <c r="Q2252" s="36"/>
    </row>
    <row r="2253" spans="13:17" x14ac:dyDescent="0.25">
      <c r="M2253" s="36"/>
      <c r="Q2253" s="36"/>
    </row>
    <row r="2254" spans="13:17" x14ac:dyDescent="0.25">
      <c r="M2254" s="36"/>
      <c r="Q2254" s="36"/>
    </row>
    <row r="2255" spans="13:17" x14ac:dyDescent="0.25">
      <c r="M2255" s="36"/>
      <c r="Q2255" s="36"/>
    </row>
    <row r="2256" spans="13:17" x14ac:dyDescent="0.25">
      <c r="M2256" s="36"/>
      <c r="Q2256" s="36"/>
    </row>
    <row r="2257" spans="13:17" x14ac:dyDescent="0.25">
      <c r="M2257" s="36"/>
      <c r="Q2257" s="36"/>
    </row>
    <row r="2258" spans="13:17" x14ac:dyDescent="0.25">
      <c r="M2258" s="36"/>
      <c r="Q2258" s="36"/>
    </row>
    <row r="2259" spans="13:17" x14ac:dyDescent="0.25">
      <c r="M2259" s="36"/>
      <c r="Q2259" s="36"/>
    </row>
    <row r="2260" spans="13:17" x14ac:dyDescent="0.25">
      <c r="M2260" s="36"/>
      <c r="Q2260" s="36"/>
    </row>
    <row r="2261" spans="13:17" x14ac:dyDescent="0.25">
      <c r="M2261" s="36"/>
      <c r="Q2261" s="36"/>
    </row>
    <row r="2262" spans="13:17" x14ac:dyDescent="0.25">
      <c r="M2262" s="36"/>
      <c r="Q2262" s="36"/>
    </row>
    <row r="2263" spans="13:17" x14ac:dyDescent="0.25">
      <c r="M2263" s="36"/>
      <c r="Q2263" s="36"/>
    </row>
    <row r="2264" spans="13:17" x14ac:dyDescent="0.25">
      <c r="M2264" s="36"/>
      <c r="Q2264" s="36"/>
    </row>
    <row r="2265" spans="13:17" x14ac:dyDescent="0.25">
      <c r="M2265" s="36"/>
      <c r="Q2265" s="36"/>
    </row>
    <row r="2266" spans="13:17" x14ac:dyDescent="0.25">
      <c r="M2266" s="36"/>
      <c r="Q2266" s="36"/>
    </row>
    <row r="2267" spans="13:17" x14ac:dyDescent="0.25">
      <c r="M2267" s="36"/>
      <c r="Q2267" s="36"/>
    </row>
    <row r="2268" spans="13:17" x14ac:dyDescent="0.25">
      <c r="M2268" s="36"/>
      <c r="Q2268" s="36"/>
    </row>
    <row r="2269" spans="13:17" x14ac:dyDescent="0.25">
      <c r="M2269" s="36"/>
      <c r="Q2269" s="36"/>
    </row>
    <row r="2270" spans="13:17" x14ac:dyDescent="0.25">
      <c r="M2270" s="36"/>
      <c r="Q2270" s="36"/>
    </row>
    <row r="2271" spans="13:17" x14ac:dyDescent="0.25">
      <c r="M2271" s="36"/>
      <c r="Q2271" s="36"/>
    </row>
    <row r="2272" spans="13:17" x14ac:dyDescent="0.25">
      <c r="M2272" s="36"/>
      <c r="Q2272" s="36"/>
    </row>
    <row r="2273" spans="13:17" x14ac:dyDescent="0.25">
      <c r="M2273" s="36"/>
      <c r="Q2273" s="36"/>
    </row>
    <row r="2274" spans="13:17" x14ac:dyDescent="0.25">
      <c r="M2274" s="36"/>
      <c r="Q2274" s="36"/>
    </row>
    <row r="2275" spans="13:17" x14ac:dyDescent="0.25">
      <c r="M2275" s="36"/>
      <c r="Q2275" s="36"/>
    </row>
    <row r="2276" spans="13:17" x14ac:dyDescent="0.25">
      <c r="M2276" s="36"/>
      <c r="Q2276" s="36"/>
    </row>
    <row r="2277" spans="13:17" x14ac:dyDescent="0.25">
      <c r="M2277" s="36"/>
      <c r="Q2277" s="36"/>
    </row>
    <row r="2278" spans="13:17" x14ac:dyDescent="0.25">
      <c r="M2278" s="36"/>
      <c r="Q2278" s="36"/>
    </row>
    <row r="2279" spans="13:17" x14ac:dyDescent="0.25">
      <c r="M2279" s="36"/>
      <c r="Q2279" s="36"/>
    </row>
    <row r="2280" spans="13:17" x14ac:dyDescent="0.25">
      <c r="M2280" s="36"/>
      <c r="Q2280" s="36"/>
    </row>
    <row r="2281" spans="13:17" x14ac:dyDescent="0.25">
      <c r="M2281" s="36"/>
      <c r="Q2281" s="36"/>
    </row>
    <row r="2282" spans="13:17" x14ac:dyDescent="0.25">
      <c r="M2282" s="36"/>
      <c r="Q2282" s="36"/>
    </row>
    <row r="2283" spans="13:17" x14ac:dyDescent="0.25">
      <c r="M2283" s="36"/>
      <c r="Q2283" s="36"/>
    </row>
    <row r="2284" spans="13:17" x14ac:dyDescent="0.25">
      <c r="M2284" s="36"/>
      <c r="Q2284" s="36"/>
    </row>
    <row r="2285" spans="13:17" x14ac:dyDescent="0.25">
      <c r="M2285" s="36"/>
      <c r="Q2285" s="36"/>
    </row>
    <row r="2286" spans="13:17" x14ac:dyDescent="0.25">
      <c r="M2286" s="36"/>
      <c r="Q2286" s="36"/>
    </row>
    <row r="2287" spans="13:17" x14ac:dyDescent="0.25">
      <c r="M2287" s="36"/>
      <c r="Q2287" s="36"/>
    </row>
    <row r="2288" spans="13:17" x14ac:dyDescent="0.25">
      <c r="M2288" s="36"/>
      <c r="Q2288" s="36"/>
    </row>
    <row r="2289" spans="13:17" x14ac:dyDescent="0.25">
      <c r="M2289" s="36"/>
      <c r="Q2289" s="36"/>
    </row>
    <row r="2290" spans="13:17" x14ac:dyDescent="0.25">
      <c r="M2290" s="36"/>
      <c r="Q2290" s="36"/>
    </row>
    <row r="2291" spans="13:17" x14ac:dyDescent="0.25">
      <c r="M2291" s="36"/>
      <c r="Q2291" s="36"/>
    </row>
    <row r="2292" spans="13:17" x14ac:dyDescent="0.25">
      <c r="M2292" s="36"/>
      <c r="Q2292" s="36"/>
    </row>
    <row r="2293" spans="13:17" x14ac:dyDescent="0.25">
      <c r="M2293" s="36"/>
      <c r="Q2293" s="36"/>
    </row>
    <row r="2294" spans="13:17" x14ac:dyDescent="0.25">
      <c r="M2294" s="36"/>
      <c r="Q2294" s="36"/>
    </row>
    <row r="2295" spans="13:17" x14ac:dyDescent="0.25">
      <c r="M2295" s="36"/>
      <c r="Q2295" s="36"/>
    </row>
    <row r="2296" spans="13:17" x14ac:dyDescent="0.25">
      <c r="M2296" s="36"/>
      <c r="Q2296" s="36"/>
    </row>
    <row r="2297" spans="13:17" x14ac:dyDescent="0.25">
      <c r="M2297" s="36"/>
      <c r="Q2297" s="36"/>
    </row>
    <row r="2298" spans="13:17" x14ac:dyDescent="0.25">
      <c r="M2298" s="36"/>
      <c r="Q2298" s="36"/>
    </row>
    <row r="2299" spans="13:17" x14ac:dyDescent="0.25">
      <c r="M2299" s="36"/>
      <c r="Q2299" s="36"/>
    </row>
    <row r="2300" spans="13:17" x14ac:dyDescent="0.25">
      <c r="M2300" s="36"/>
      <c r="Q2300" s="36"/>
    </row>
    <row r="2301" spans="13:17" x14ac:dyDescent="0.25">
      <c r="M2301" s="36"/>
      <c r="Q2301" s="36"/>
    </row>
    <row r="2302" spans="13:17" x14ac:dyDescent="0.25">
      <c r="M2302" s="36"/>
      <c r="Q2302" s="36"/>
    </row>
    <row r="2303" spans="13:17" x14ac:dyDescent="0.25">
      <c r="M2303" s="36"/>
      <c r="Q2303" s="36"/>
    </row>
    <row r="2304" spans="13:17" x14ac:dyDescent="0.25">
      <c r="M2304" s="36"/>
      <c r="Q2304" s="36"/>
    </row>
    <row r="2305" spans="13:17" x14ac:dyDescent="0.25">
      <c r="M2305" s="36"/>
      <c r="Q2305" s="36"/>
    </row>
    <row r="2306" spans="13:17" x14ac:dyDescent="0.25">
      <c r="M2306" s="36"/>
      <c r="Q2306" s="36"/>
    </row>
    <row r="2307" spans="13:17" x14ac:dyDescent="0.25">
      <c r="M2307" s="36"/>
      <c r="Q2307" s="36"/>
    </row>
    <row r="2308" spans="13:17" x14ac:dyDescent="0.25">
      <c r="M2308" s="36"/>
      <c r="Q2308" s="36"/>
    </row>
    <row r="2309" spans="13:17" x14ac:dyDescent="0.25">
      <c r="M2309" s="36"/>
      <c r="Q2309" s="36"/>
    </row>
    <row r="2310" spans="13:17" x14ac:dyDescent="0.25">
      <c r="M2310" s="36"/>
      <c r="Q2310" s="36"/>
    </row>
    <row r="2311" spans="13:17" x14ac:dyDescent="0.25">
      <c r="M2311" s="36"/>
      <c r="Q2311" s="36"/>
    </row>
    <row r="2312" spans="13:17" x14ac:dyDescent="0.25">
      <c r="M2312" s="36"/>
      <c r="Q2312" s="36"/>
    </row>
    <row r="2313" spans="13:17" x14ac:dyDescent="0.25">
      <c r="M2313" s="36"/>
      <c r="Q2313" s="36"/>
    </row>
    <row r="2314" spans="13:17" x14ac:dyDescent="0.25">
      <c r="M2314" s="36"/>
      <c r="Q2314" s="36"/>
    </row>
    <row r="2315" spans="13:17" x14ac:dyDescent="0.25">
      <c r="M2315" s="36"/>
      <c r="Q2315" s="36"/>
    </row>
    <row r="2316" spans="13:17" x14ac:dyDescent="0.25">
      <c r="M2316" s="36"/>
      <c r="Q2316" s="36"/>
    </row>
    <row r="2317" spans="13:17" x14ac:dyDescent="0.25">
      <c r="M2317" s="36"/>
      <c r="Q2317" s="36"/>
    </row>
    <row r="2318" spans="13:17" x14ac:dyDescent="0.25">
      <c r="M2318" s="36"/>
      <c r="Q2318" s="36"/>
    </row>
    <row r="2319" spans="13:17" x14ac:dyDescent="0.25">
      <c r="M2319" s="36"/>
      <c r="Q2319" s="36"/>
    </row>
    <row r="2320" spans="13:17" x14ac:dyDescent="0.25">
      <c r="M2320" s="36"/>
      <c r="Q2320" s="36"/>
    </row>
    <row r="2321" spans="13:17" x14ac:dyDescent="0.25">
      <c r="M2321" s="36"/>
      <c r="Q2321" s="36"/>
    </row>
    <row r="2322" spans="13:17" x14ac:dyDescent="0.25">
      <c r="M2322" s="36"/>
      <c r="Q2322" s="36"/>
    </row>
    <row r="2323" spans="13:17" x14ac:dyDescent="0.25">
      <c r="M2323" s="36"/>
      <c r="Q2323" s="36"/>
    </row>
    <row r="2324" spans="13:17" x14ac:dyDescent="0.25">
      <c r="M2324" s="36"/>
      <c r="Q2324" s="36"/>
    </row>
    <row r="2325" spans="13:17" x14ac:dyDescent="0.25">
      <c r="M2325" s="36"/>
      <c r="Q2325" s="36"/>
    </row>
    <row r="2326" spans="13:17" x14ac:dyDescent="0.25">
      <c r="M2326" s="36"/>
      <c r="Q2326" s="36"/>
    </row>
    <row r="2327" spans="13:17" x14ac:dyDescent="0.25">
      <c r="M2327" s="36"/>
      <c r="Q2327" s="36"/>
    </row>
    <row r="2328" spans="13:17" x14ac:dyDescent="0.25">
      <c r="M2328" s="36"/>
      <c r="Q2328" s="36"/>
    </row>
    <row r="2329" spans="13:17" x14ac:dyDescent="0.25">
      <c r="M2329" s="36"/>
      <c r="Q2329" s="36"/>
    </row>
    <row r="2330" spans="13:17" x14ac:dyDescent="0.25">
      <c r="M2330" s="36"/>
      <c r="Q2330" s="36"/>
    </row>
    <row r="2331" spans="13:17" x14ac:dyDescent="0.25">
      <c r="M2331" s="36"/>
      <c r="Q2331" s="36"/>
    </row>
    <row r="2332" spans="13:17" x14ac:dyDescent="0.25">
      <c r="M2332" s="36"/>
      <c r="Q2332" s="36"/>
    </row>
    <row r="2333" spans="13:17" x14ac:dyDescent="0.25">
      <c r="M2333" s="36"/>
      <c r="Q2333" s="36"/>
    </row>
    <row r="2334" spans="13:17" x14ac:dyDescent="0.25">
      <c r="M2334" s="36"/>
      <c r="Q2334" s="36"/>
    </row>
    <row r="2335" spans="13:17" x14ac:dyDescent="0.25">
      <c r="M2335" s="36"/>
      <c r="Q2335" s="36"/>
    </row>
    <row r="2336" spans="13:17" x14ac:dyDescent="0.25">
      <c r="M2336" s="36"/>
      <c r="Q2336" s="36"/>
    </row>
    <row r="2337" spans="13:17" x14ac:dyDescent="0.25">
      <c r="M2337" s="36"/>
      <c r="Q2337" s="36"/>
    </row>
    <row r="2338" spans="13:17" x14ac:dyDescent="0.25">
      <c r="M2338" s="36"/>
      <c r="Q2338" s="36"/>
    </row>
    <row r="2339" spans="13:17" x14ac:dyDescent="0.25">
      <c r="M2339" s="36"/>
      <c r="Q2339" s="36"/>
    </row>
    <row r="2340" spans="13:17" x14ac:dyDescent="0.25">
      <c r="M2340" s="36"/>
      <c r="Q2340" s="36"/>
    </row>
    <row r="2341" spans="13:17" x14ac:dyDescent="0.25">
      <c r="M2341" s="36"/>
      <c r="Q2341" s="36"/>
    </row>
    <row r="2342" spans="13:17" x14ac:dyDescent="0.25">
      <c r="M2342" s="36"/>
      <c r="Q2342" s="36"/>
    </row>
    <row r="2343" spans="13:17" x14ac:dyDescent="0.25">
      <c r="M2343" s="36"/>
      <c r="Q2343" s="36"/>
    </row>
    <row r="2344" spans="13:17" x14ac:dyDescent="0.25">
      <c r="M2344" s="36"/>
      <c r="Q2344" s="36"/>
    </row>
    <row r="2345" spans="13:17" x14ac:dyDescent="0.25">
      <c r="M2345" s="36"/>
      <c r="Q2345" s="36"/>
    </row>
    <row r="2346" spans="13:17" x14ac:dyDescent="0.25">
      <c r="M2346" s="36"/>
      <c r="Q2346" s="36"/>
    </row>
    <row r="2347" spans="13:17" x14ac:dyDescent="0.25">
      <c r="M2347" s="36"/>
      <c r="Q2347" s="36"/>
    </row>
    <row r="2348" spans="13:17" x14ac:dyDescent="0.25">
      <c r="M2348" s="36"/>
      <c r="Q2348" s="36"/>
    </row>
    <row r="2349" spans="13:17" x14ac:dyDescent="0.25">
      <c r="M2349" s="36"/>
      <c r="Q2349" s="36"/>
    </row>
    <row r="2350" spans="13:17" x14ac:dyDescent="0.25">
      <c r="M2350" s="36"/>
      <c r="Q2350" s="36"/>
    </row>
    <row r="2351" spans="13:17" x14ac:dyDescent="0.25">
      <c r="M2351" s="36"/>
      <c r="Q2351" s="36"/>
    </row>
    <row r="2352" spans="13:17" x14ac:dyDescent="0.25">
      <c r="M2352" s="36"/>
      <c r="Q2352" s="36"/>
    </row>
    <row r="2353" spans="13:17" x14ac:dyDescent="0.25">
      <c r="M2353" s="36"/>
      <c r="Q2353" s="36"/>
    </row>
    <row r="2354" spans="13:17" x14ac:dyDescent="0.25">
      <c r="M2354" s="36"/>
      <c r="Q2354" s="36"/>
    </row>
    <row r="2355" spans="13:17" x14ac:dyDescent="0.25">
      <c r="M2355" s="36"/>
      <c r="Q2355" s="36"/>
    </row>
    <row r="2356" spans="13:17" x14ac:dyDescent="0.25">
      <c r="M2356" s="36"/>
      <c r="Q2356" s="36"/>
    </row>
    <row r="2357" spans="13:17" x14ac:dyDescent="0.25">
      <c r="M2357" s="36"/>
      <c r="Q2357" s="36"/>
    </row>
    <row r="2358" spans="13:17" x14ac:dyDescent="0.25">
      <c r="M2358" s="36"/>
      <c r="Q2358" s="36"/>
    </row>
    <row r="2359" spans="13:17" x14ac:dyDescent="0.25">
      <c r="M2359" s="36"/>
      <c r="Q2359" s="36"/>
    </row>
    <row r="2360" spans="13:17" x14ac:dyDescent="0.25">
      <c r="M2360" s="36"/>
      <c r="Q2360" s="36"/>
    </row>
    <row r="2361" spans="13:17" x14ac:dyDescent="0.25">
      <c r="M2361" s="36"/>
      <c r="Q2361" s="36"/>
    </row>
    <row r="2362" spans="13:17" x14ac:dyDescent="0.25">
      <c r="M2362" s="36"/>
      <c r="Q2362" s="36"/>
    </row>
    <row r="2363" spans="13:17" x14ac:dyDescent="0.25">
      <c r="M2363" s="36"/>
      <c r="Q2363" s="36"/>
    </row>
    <row r="2364" spans="13:17" x14ac:dyDescent="0.25">
      <c r="M2364" s="36"/>
      <c r="Q2364" s="36"/>
    </row>
    <row r="2365" spans="13:17" x14ac:dyDescent="0.25">
      <c r="M2365" s="36"/>
      <c r="Q2365" s="36"/>
    </row>
    <row r="2366" spans="13:17" x14ac:dyDescent="0.25">
      <c r="M2366" s="36"/>
      <c r="Q2366" s="36"/>
    </row>
    <row r="2367" spans="13:17" x14ac:dyDescent="0.25">
      <c r="M2367" s="36"/>
      <c r="Q2367" s="36"/>
    </row>
    <row r="2368" spans="13:17" x14ac:dyDescent="0.25">
      <c r="M2368" s="36"/>
      <c r="Q2368" s="36"/>
    </row>
    <row r="2369" spans="13:17" x14ac:dyDescent="0.25">
      <c r="M2369" s="36"/>
      <c r="Q2369" s="36"/>
    </row>
    <row r="2370" spans="13:17" x14ac:dyDescent="0.25">
      <c r="M2370" s="36"/>
      <c r="Q2370" s="36"/>
    </row>
    <row r="2371" spans="13:17" x14ac:dyDescent="0.25">
      <c r="M2371" s="36"/>
      <c r="Q2371" s="36"/>
    </row>
    <row r="2372" spans="13:17" x14ac:dyDescent="0.25">
      <c r="M2372" s="36"/>
      <c r="Q2372" s="36"/>
    </row>
    <row r="2373" spans="13:17" x14ac:dyDescent="0.25">
      <c r="M2373" s="36"/>
      <c r="Q2373" s="36"/>
    </row>
    <row r="2374" spans="13:17" x14ac:dyDescent="0.25">
      <c r="M2374" s="36"/>
      <c r="Q2374" s="36"/>
    </row>
    <row r="2375" spans="13:17" x14ac:dyDescent="0.25">
      <c r="M2375" s="36"/>
      <c r="Q2375" s="36"/>
    </row>
    <row r="2376" spans="13:17" x14ac:dyDescent="0.25">
      <c r="M2376" s="36"/>
      <c r="Q2376" s="36"/>
    </row>
    <row r="2377" spans="13:17" x14ac:dyDescent="0.25">
      <c r="M2377" s="36"/>
      <c r="Q2377" s="36"/>
    </row>
    <row r="2378" spans="13:17" x14ac:dyDescent="0.25">
      <c r="M2378" s="36"/>
      <c r="Q2378" s="36"/>
    </row>
    <row r="2379" spans="13:17" x14ac:dyDescent="0.25">
      <c r="M2379" s="36"/>
      <c r="Q2379" s="36"/>
    </row>
    <row r="2380" spans="13:17" x14ac:dyDescent="0.25">
      <c r="M2380" s="36"/>
      <c r="Q2380" s="36"/>
    </row>
    <row r="2381" spans="13:17" x14ac:dyDescent="0.25">
      <c r="M2381" s="36"/>
      <c r="Q2381" s="36"/>
    </row>
    <row r="2382" spans="13:17" x14ac:dyDescent="0.25">
      <c r="M2382" s="36"/>
      <c r="Q2382" s="36"/>
    </row>
    <row r="2383" spans="13:17" x14ac:dyDescent="0.25">
      <c r="M2383" s="36"/>
      <c r="Q2383" s="36"/>
    </row>
    <row r="2384" spans="13:17" x14ac:dyDescent="0.25">
      <c r="M2384" s="36"/>
      <c r="Q2384" s="36"/>
    </row>
    <row r="2385" spans="13:17" x14ac:dyDescent="0.25">
      <c r="M2385" s="36"/>
      <c r="Q2385" s="36"/>
    </row>
    <row r="2386" spans="13:17" x14ac:dyDescent="0.25">
      <c r="M2386" s="36"/>
      <c r="Q2386" s="36"/>
    </row>
    <row r="2387" spans="13:17" x14ac:dyDescent="0.25">
      <c r="M2387" s="36"/>
      <c r="Q2387" s="36"/>
    </row>
    <row r="2388" spans="13:17" x14ac:dyDescent="0.25">
      <c r="M2388" s="36"/>
      <c r="Q2388" s="36"/>
    </row>
    <row r="2389" spans="13:17" x14ac:dyDescent="0.25">
      <c r="M2389" s="36"/>
      <c r="Q2389" s="36"/>
    </row>
    <row r="2390" spans="13:17" x14ac:dyDescent="0.25">
      <c r="M2390" s="36"/>
      <c r="Q2390" s="36"/>
    </row>
    <row r="2391" spans="13:17" x14ac:dyDescent="0.25">
      <c r="M2391" s="36"/>
      <c r="Q2391" s="36"/>
    </row>
    <row r="2392" spans="13:17" x14ac:dyDescent="0.25">
      <c r="M2392" s="36"/>
      <c r="Q2392" s="36"/>
    </row>
    <row r="2393" spans="13:17" x14ac:dyDescent="0.25">
      <c r="M2393" s="36"/>
      <c r="Q2393" s="36"/>
    </row>
    <row r="2394" spans="13:17" x14ac:dyDescent="0.25">
      <c r="M2394" s="36"/>
      <c r="Q2394" s="36"/>
    </row>
    <row r="2395" spans="13:17" x14ac:dyDescent="0.25">
      <c r="M2395" s="36"/>
      <c r="Q2395" s="36"/>
    </row>
    <row r="2396" spans="13:17" x14ac:dyDescent="0.25">
      <c r="M2396" s="36"/>
      <c r="Q2396" s="36"/>
    </row>
    <row r="2397" spans="13:17" x14ac:dyDescent="0.25">
      <c r="M2397" s="36"/>
      <c r="Q2397" s="36"/>
    </row>
    <row r="2398" spans="13:17" x14ac:dyDescent="0.25">
      <c r="M2398" s="36"/>
      <c r="Q2398" s="36"/>
    </row>
    <row r="2399" spans="13:17" x14ac:dyDescent="0.25">
      <c r="M2399" s="36"/>
      <c r="Q2399" s="36"/>
    </row>
    <row r="2400" spans="13:17" x14ac:dyDescent="0.25">
      <c r="M2400" s="36"/>
      <c r="Q2400" s="36"/>
    </row>
    <row r="2401" spans="13:17" x14ac:dyDescent="0.25">
      <c r="M2401" s="36"/>
      <c r="Q2401" s="36"/>
    </row>
    <row r="2402" spans="13:17" x14ac:dyDescent="0.25">
      <c r="M2402" s="36"/>
      <c r="Q2402" s="36"/>
    </row>
    <row r="2403" spans="13:17" x14ac:dyDescent="0.25">
      <c r="M2403" s="36"/>
      <c r="Q2403" s="36"/>
    </row>
    <row r="2404" spans="13:17" x14ac:dyDescent="0.25">
      <c r="M2404" s="36"/>
      <c r="Q2404" s="36"/>
    </row>
    <row r="2405" spans="13:17" x14ac:dyDescent="0.25">
      <c r="M2405" s="36"/>
      <c r="Q2405" s="36"/>
    </row>
    <row r="2406" spans="13:17" x14ac:dyDescent="0.25">
      <c r="M2406" s="36"/>
      <c r="Q2406" s="36"/>
    </row>
    <row r="2407" spans="13:17" x14ac:dyDescent="0.25">
      <c r="M2407" s="36"/>
      <c r="Q2407" s="36"/>
    </row>
    <row r="2408" spans="13:17" x14ac:dyDescent="0.25">
      <c r="M2408" s="36"/>
      <c r="Q2408" s="36"/>
    </row>
    <row r="2409" spans="13:17" x14ac:dyDescent="0.25">
      <c r="M2409" s="36"/>
      <c r="Q2409" s="36"/>
    </row>
    <row r="2410" spans="13:17" x14ac:dyDescent="0.25">
      <c r="M2410" s="36"/>
      <c r="Q2410" s="36"/>
    </row>
    <row r="2411" spans="13:17" x14ac:dyDescent="0.25">
      <c r="M2411" s="36"/>
      <c r="Q2411" s="36"/>
    </row>
    <row r="2412" spans="13:17" x14ac:dyDescent="0.25">
      <c r="M2412" s="36"/>
      <c r="Q2412" s="36"/>
    </row>
    <row r="2413" spans="13:17" x14ac:dyDescent="0.25">
      <c r="M2413" s="36"/>
      <c r="Q2413" s="36"/>
    </row>
    <row r="2414" spans="13:17" x14ac:dyDescent="0.25">
      <c r="M2414" s="36"/>
      <c r="Q2414" s="36"/>
    </row>
    <row r="2415" spans="13:17" x14ac:dyDescent="0.25">
      <c r="M2415" s="36"/>
      <c r="Q2415" s="36"/>
    </row>
    <row r="2416" spans="13:17" x14ac:dyDescent="0.25">
      <c r="M2416" s="36"/>
      <c r="Q2416" s="36"/>
    </row>
    <row r="2417" spans="13:17" x14ac:dyDescent="0.25">
      <c r="M2417" s="36"/>
      <c r="Q2417" s="36"/>
    </row>
    <row r="2418" spans="13:17" x14ac:dyDescent="0.25">
      <c r="M2418" s="36"/>
      <c r="Q2418" s="36"/>
    </row>
    <row r="2419" spans="13:17" x14ac:dyDescent="0.25">
      <c r="M2419" s="36"/>
      <c r="Q2419" s="36"/>
    </row>
    <row r="2420" spans="13:17" x14ac:dyDescent="0.25">
      <c r="M2420" s="36"/>
      <c r="Q2420" s="36"/>
    </row>
    <row r="2421" spans="13:17" x14ac:dyDescent="0.25">
      <c r="M2421" s="36"/>
      <c r="Q2421" s="36"/>
    </row>
    <row r="2422" spans="13:17" x14ac:dyDescent="0.25">
      <c r="M2422" s="36"/>
      <c r="Q2422" s="36"/>
    </row>
    <row r="2423" spans="13:17" x14ac:dyDescent="0.25">
      <c r="M2423" s="36"/>
      <c r="Q2423" s="36"/>
    </row>
    <row r="2424" spans="13:17" x14ac:dyDescent="0.25">
      <c r="M2424" s="36"/>
      <c r="Q2424" s="36"/>
    </row>
    <row r="2425" spans="13:17" x14ac:dyDescent="0.25">
      <c r="M2425" s="36"/>
      <c r="Q2425" s="36"/>
    </row>
    <row r="2426" spans="13:17" x14ac:dyDescent="0.25">
      <c r="M2426" s="36"/>
      <c r="Q2426" s="36"/>
    </row>
    <row r="2427" spans="13:17" x14ac:dyDescent="0.25">
      <c r="M2427" s="36"/>
      <c r="Q2427" s="36"/>
    </row>
    <row r="2428" spans="13:17" x14ac:dyDescent="0.25">
      <c r="M2428" s="36"/>
      <c r="Q2428" s="36"/>
    </row>
    <row r="2429" spans="13:17" x14ac:dyDescent="0.25">
      <c r="M2429" s="36"/>
      <c r="Q2429" s="36"/>
    </row>
    <row r="2430" spans="13:17" x14ac:dyDescent="0.25">
      <c r="M2430" s="36"/>
      <c r="Q2430" s="36"/>
    </row>
    <row r="2431" spans="13:17" x14ac:dyDescent="0.25">
      <c r="M2431" s="36"/>
      <c r="Q2431" s="36"/>
    </row>
    <row r="2432" spans="13:17" x14ac:dyDescent="0.25">
      <c r="M2432" s="36"/>
      <c r="Q2432" s="36"/>
    </row>
    <row r="2433" spans="13:17" x14ac:dyDescent="0.25">
      <c r="M2433" s="36"/>
      <c r="Q2433" s="36"/>
    </row>
    <row r="2434" spans="13:17" x14ac:dyDescent="0.25">
      <c r="M2434" s="36"/>
      <c r="Q2434" s="36"/>
    </row>
    <row r="2435" spans="13:17" x14ac:dyDescent="0.25">
      <c r="M2435" s="36"/>
      <c r="Q2435" s="36"/>
    </row>
    <row r="2436" spans="13:17" x14ac:dyDescent="0.25">
      <c r="M2436" s="36"/>
      <c r="Q2436" s="36"/>
    </row>
    <row r="2437" spans="13:17" x14ac:dyDescent="0.25">
      <c r="M2437" s="36"/>
      <c r="Q2437" s="36"/>
    </row>
    <row r="2438" spans="13:17" x14ac:dyDescent="0.25">
      <c r="M2438" s="36"/>
      <c r="Q2438" s="36"/>
    </row>
    <row r="2439" spans="13:17" x14ac:dyDescent="0.25">
      <c r="M2439" s="36"/>
      <c r="Q2439" s="36"/>
    </row>
    <row r="2440" spans="13:17" x14ac:dyDescent="0.25">
      <c r="M2440" s="36"/>
      <c r="Q2440" s="36"/>
    </row>
    <row r="2441" spans="13:17" x14ac:dyDescent="0.25">
      <c r="M2441" s="36"/>
      <c r="Q2441" s="36"/>
    </row>
    <row r="2442" spans="13:17" x14ac:dyDescent="0.25">
      <c r="M2442" s="36"/>
      <c r="Q2442" s="36"/>
    </row>
    <row r="2443" spans="13:17" x14ac:dyDescent="0.25">
      <c r="M2443" s="36"/>
      <c r="Q2443" s="36"/>
    </row>
    <row r="2444" spans="13:17" x14ac:dyDescent="0.25">
      <c r="M2444" s="36"/>
      <c r="Q2444" s="36"/>
    </row>
    <row r="2445" spans="13:17" x14ac:dyDescent="0.25">
      <c r="M2445" s="36"/>
      <c r="Q2445" s="36"/>
    </row>
    <row r="2446" spans="13:17" x14ac:dyDescent="0.25">
      <c r="M2446" s="36"/>
      <c r="Q2446" s="36"/>
    </row>
    <row r="2447" spans="13:17" x14ac:dyDescent="0.25">
      <c r="M2447" s="36"/>
      <c r="Q2447" s="36"/>
    </row>
    <row r="2448" spans="13:17" x14ac:dyDescent="0.25">
      <c r="M2448" s="36"/>
      <c r="Q2448" s="36"/>
    </row>
    <row r="2449" spans="13:17" x14ac:dyDescent="0.25">
      <c r="M2449" s="36"/>
      <c r="Q2449" s="36"/>
    </row>
    <row r="2450" spans="13:17" x14ac:dyDescent="0.25">
      <c r="M2450" s="36"/>
      <c r="Q2450" s="36"/>
    </row>
    <row r="2451" spans="13:17" x14ac:dyDescent="0.25">
      <c r="M2451" s="36"/>
      <c r="Q2451" s="36"/>
    </row>
    <row r="2452" spans="13:17" x14ac:dyDescent="0.25">
      <c r="M2452" s="36"/>
      <c r="Q2452" s="36"/>
    </row>
    <row r="2453" spans="13:17" x14ac:dyDescent="0.25">
      <c r="M2453" s="36"/>
      <c r="Q2453" s="36"/>
    </row>
    <row r="2454" spans="13:17" x14ac:dyDescent="0.25">
      <c r="M2454" s="36"/>
      <c r="Q2454" s="36"/>
    </row>
    <row r="2455" spans="13:17" x14ac:dyDescent="0.25">
      <c r="M2455" s="36"/>
      <c r="Q2455" s="36"/>
    </row>
    <row r="2456" spans="13:17" x14ac:dyDescent="0.25">
      <c r="M2456" s="36"/>
      <c r="Q2456" s="36"/>
    </row>
    <row r="2457" spans="13:17" x14ac:dyDescent="0.25">
      <c r="M2457" s="36"/>
      <c r="Q2457" s="36"/>
    </row>
    <row r="2458" spans="13:17" x14ac:dyDescent="0.25">
      <c r="M2458" s="36"/>
      <c r="Q2458" s="36"/>
    </row>
    <row r="2459" spans="13:17" x14ac:dyDescent="0.25">
      <c r="M2459" s="36"/>
      <c r="Q2459" s="36"/>
    </row>
    <row r="2460" spans="13:17" x14ac:dyDescent="0.25">
      <c r="M2460" s="36"/>
      <c r="Q2460" s="36"/>
    </row>
    <row r="2461" spans="13:17" x14ac:dyDescent="0.25">
      <c r="M2461" s="36"/>
      <c r="Q2461" s="36"/>
    </row>
    <row r="2462" spans="13:17" x14ac:dyDescent="0.25">
      <c r="M2462" s="36"/>
      <c r="Q2462" s="36"/>
    </row>
    <row r="2463" spans="13:17" x14ac:dyDescent="0.25">
      <c r="M2463" s="36"/>
      <c r="Q2463" s="36"/>
    </row>
    <row r="2464" spans="13:17" x14ac:dyDescent="0.25">
      <c r="M2464" s="36"/>
      <c r="Q2464" s="36"/>
    </row>
    <row r="2465" spans="13:17" x14ac:dyDescent="0.25">
      <c r="M2465" s="36"/>
      <c r="Q2465" s="36"/>
    </row>
    <row r="2466" spans="13:17" x14ac:dyDescent="0.25">
      <c r="M2466" s="36"/>
      <c r="Q2466" s="36"/>
    </row>
    <row r="2467" spans="13:17" x14ac:dyDescent="0.25">
      <c r="M2467" s="36"/>
      <c r="Q2467" s="36"/>
    </row>
    <row r="2468" spans="13:17" x14ac:dyDescent="0.25">
      <c r="M2468" s="36"/>
      <c r="Q2468" s="36"/>
    </row>
    <row r="2469" spans="13:17" x14ac:dyDescent="0.25">
      <c r="M2469" s="36"/>
      <c r="Q2469" s="36"/>
    </row>
    <row r="2470" spans="13:17" x14ac:dyDescent="0.25">
      <c r="M2470" s="36"/>
      <c r="Q2470" s="36"/>
    </row>
    <row r="2471" spans="13:17" x14ac:dyDescent="0.25">
      <c r="M2471" s="36"/>
      <c r="Q2471" s="36"/>
    </row>
    <row r="2472" spans="13:17" x14ac:dyDescent="0.25">
      <c r="M2472" s="36"/>
      <c r="Q2472" s="36"/>
    </row>
    <row r="2473" spans="13:17" x14ac:dyDescent="0.25">
      <c r="M2473" s="36"/>
      <c r="Q2473" s="36"/>
    </row>
    <row r="2474" spans="13:17" x14ac:dyDescent="0.25">
      <c r="M2474" s="36"/>
      <c r="Q2474" s="36"/>
    </row>
    <row r="2475" spans="13:17" x14ac:dyDescent="0.25">
      <c r="M2475" s="36"/>
      <c r="Q2475" s="36"/>
    </row>
    <row r="2476" spans="13:17" x14ac:dyDescent="0.25">
      <c r="M2476" s="36"/>
      <c r="Q2476" s="36"/>
    </row>
    <row r="2477" spans="13:17" x14ac:dyDescent="0.25">
      <c r="M2477" s="36"/>
      <c r="Q2477" s="36"/>
    </row>
    <row r="2478" spans="13:17" x14ac:dyDescent="0.25">
      <c r="M2478" s="36"/>
      <c r="Q2478" s="36"/>
    </row>
    <row r="2479" spans="13:17" x14ac:dyDescent="0.25">
      <c r="M2479" s="36"/>
      <c r="Q2479" s="36"/>
    </row>
    <row r="2480" spans="13:17" x14ac:dyDescent="0.25">
      <c r="M2480" s="36"/>
      <c r="Q2480" s="36"/>
    </row>
    <row r="2481" spans="13:17" x14ac:dyDescent="0.25">
      <c r="M2481" s="36"/>
      <c r="Q2481" s="36"/>
    </row>
    <row r="2482" spans="13:17" x14ac:dyDescent="0.25">
      <c r="M2482" s="36"/>
      <c r="Q2482" s="36"/>
    </row>
    <row r="2483" spans="13:17" x14ac:dyDescent="0.25">
      <c r="M2483" s="36"/>
      <c r="Q2483" s="36"/>
    </row>
    <row r="2484" spans="13:17" x14ac:dyDescent="0.25">
      <c r="M2484" s="36"/>
      <c r="Q2484" s="36"/>
    </row>
    <row r="2485" spans="13:17" x14ac:dyDescent="0.25">
      <c r="M2485" s="36"/>
      <c r="Q2485" s="36"/>
    </row>
    <row r="2486" spans="13:17" x14ac:dyDescent="0.25">
      <c r="M2486" s="36"/>
      <c r="Q2486" s="36"/>
    </row>
    <row r="2487" spans="13:17" x14ac:dyDescent="0.25">
      <c r="M2487" s="36"/>
      <c r="Q2487" s="36"/>
    </row>
    <row r="2488" spans="13:17" x14ac:dyDescent="0.25">
      <c r="M2488" s="36"/>
      <c r="Q2488" s="36"/>
    </row>
    <row r="2489" spans="13:17" x14ac:dyDescent="0.25">
      <c r="M2489" s="36"/>
      <c r="Q2489" s="36"/>
    </row>
    <row r="2490" spans="13:17" x14ac:dyDescent="0.25">
      <c r="M2490" s="36"/>
      <c r="Q2490" s="36"/>
    </row>
    <row r="2491" spans="13:17" x14ac:dyDescent="0.25">
      <c r="M2491" s="36"/>
      <c r="Q2491" s="36"/>
    </row>
    <row r="2492" spans="13:17" x14ac:dyDescent="0.25">
      <c r="M2492" s="36"/>
      <c r="Q2492" s="36"/>
    </row>
    <row r="2493" spans="13:17" x14ac:dyDescent="0.25">
      <c r="M2493" s="36"/>
      <c r="Q2493" s="36"/>
    </row>
    <row r="2494" spans="13:17" x14ac:dyDescent="0.25">
      <c r="M2494" s="36"/>
      <c r="Q2494" s="36"/>
    </row>
    <row r="2495" spans="13:17" x14ac:dyDescent="0.25">
      <c r="M2495" s="36"/>
      <c r="Q2495" s="36"/>
    </row>
    <row r="2496" spans="13:17" x14ac:dyDescent="0.25">
      <c r="M2496" s="36"/>
      <c r="Q2496" s="36"/>
    </row>
    <row r="2497" spans="13:17" x14ac:dyDescent="0.25">
      <c r="M2497" s="36"/>
      <c r="Q2497" s="36"/>
    </row>
    <row r="2498" spans="13:17" x14ac:dyDescent="0.25">
      <c r="M2498" s="36"/>
      <c r="Q2498" s="36"/>
    </row>
    <row r="2499" spans="13:17" x14ac:dyDescent="0.25">
      <c r="M2499" s="36"/>
      <c r="Q2499" s="36"/>
    </row>
    <row r="2500" spans="13:17" x14ac:dyDescent="0.25">
      <c r="M2500" s="36"/>
      <c r="Q2500" s="36"/>
    </row>
    <row r="2501" spans="13:17" x14ac:dyDescent="0.25">
      <c r="M2501" s="36"/>
      <c r="Q2501" s="36"/>
    </row>
    <row r="2502" spans="13:17" x14ac:dyDescent="0.25">
      <c r="M2502" s="36"/>
      <c r="Q2502" s="36"/>
    </row>
    <row r="2503" spans="13:17" x14ac:dyDescent="0.25">
      <c r="M2503" s="36"/>
      <c r="Q2503" s="36"/>
    </row>
    <row r="2504" spans="13:17" x14ac:dyDescent="0.25">
      <c r="M2504" s="36"/>
      <c r="Q2504" s="36"/>
    </row>
    <row r="2505" spans="13:17" x14ac:dyDescent="0.25">
      <c r="M2505" s="36"/>
      <c r="Q2505" s="36"/>
    </row>
    <row r="2506" spans="13:17" x14ac:dyDescent="0.25">
      <c r="M2506" s="36"/>
      <c r="Q2506" s="36"/>
    </row>
    <row r="2507" spans="13:17" x14ac:dyDescent="0.25">
      <c r="M2507" s="36"/>
      <c r="Q2507" s="36"/>
    </row>
    <row r="2508" spans="13:17" x14ac:dyDescent="0.25">
      <c r="M2508" s="36"/>
      <c r="Q2508" s="36"/>
    </row>
    <row r="2509" spans="13:17" x14ac:dyDescent="0.25">
      <c r="M2509" s="36"/>
      <c r="Q2509" s="36"/>
    </row>
    <row r="2510" spans="13:17" x14ac:dyDescent="0.25">
      <c r="M2510" s="36"/>
      <c r="Q2510" s="36"/>
    </row>
    <row r="2511" spans="13:17" x14ac:dyDescent="0.25">
      <c r="M2511" s="36"/>
      <c r="Q2511" s="36"/>
    </row>
    <row r="2512" spans="13:17" x14ac:dyDescent="0.25">
      <c r="M2512" s="36"/>
      <c r="Q2512" s="36"/>
    </row>
    <row r="2513" spans="13:17" x14ac:dyDescent="0.25">
      <c r="M2513" s="36"/>
      <c r="Q2513" s="36"/>
    </row>
    <row r="2514" spans="13:17" x14ac:dyDescent="0.25">
      <c r="M2514" s="36"/>
      <c r="Q2514" s="36"/>
    </row>
    <row r="2515" spans="13:17" x14ac:dyDescent="0.25">
      <c r="M2515" s="36"/>
      <c r="Q2515" s="36"/>
    </row>
    <row r="2516" spans="13:17" x14ac:dyDescent="0.25">
      <c r="M2516" s="36"/>
      <c r="Q2516" s="36"/>
    </row>
    <row r="2517" spans="13:17" x14ac:dyDescent="0.25">
      <c r="M2517" s="36"/>
      <c r="Q2517" s="36"/>
    </row>
    <row r="2518" spans="13:17" x14ac:dyDescent="0.25">
      <c r="M2518" s="36"/>
      <c r="Q2518" s="36"/>
    </row>
    <row r="2519" spans="13:17" x14ac:dyDescent="0.25">
      <c r="M2519" s="36"/>
      <c r="Q2519" s="36"/>
    </row>
    <row r="2520" spans="13:17" x14ac:dyDescent="0.25">
      <c r="M2520" s="36"/>
      <c r="Q2520" s="36"/>
    </row>
    <row r="2521" spans="13:17" x14ac:dyDescent="0.25">
      <c r="M2521" s="36"/>
      <c r="Q2521" s="36"/>
    </row>
    <row r="2522" spans="13:17" x14ac:dyDescent="0.25">
      <c r="M2522" s="36"/>
      <c r="Q2522" s="36"/>
    </row>
    <row r="2523" spans="13:17" x14ac:dyDescent="0.25">
      <c r="M2523" s="36"/>
      <c r="Q2523" s="36"/>
    </row>
    <row r="2524" spans="13:17" x14ac:dyDescent="0.25">
      <c r="M2524" s="36"/>
      <c r="Q2524" s="36"/>
    </row>
    <row r="2525" spans="13:17" x14ac:dyDescent="0.25">
      <c r="M2525" s="36"/>
      <c r="Q2525" s="36"/>
    </row>
    <row r="2526" spans="13:17" x14ac:dyDescent="0.25">
      <c r="M2526" s="36"/>
      <c r="Q2526" s="36"/>
    </row>
    <row r="2527" spans="13:17" x14ac:dyDescent="0.25">
      <c r="M2527" s="36"/>
      <c r="Q2527" s="36"/>
    </row>
    <row r="2528" spans="13:17" x14ac:dyDescent="0.25">
      <c r="M2528" s="36"/>
      <c r="Q2528" s="36"/>
    </row>
    <row r="2529" spans="13:17" x14ac:dyDescent="0.25">
      <c r="M2529" s="36"/>
      <c r="Q2529" s="36"/>
    </row>
    <row r="2530" spans="13:17" x14ac:dyDescent="0.25">
      <c r="M2530" s="36"/>
      <c r="Q2530" s="36"/>
    </row>
    <row r="2531" spans="13:17" x14ac:dyDescent="0.25">
      <c r="M2531" s="36"/>
      <c r="Q2531" s="36"/>
    </row>
    <row r="2532" spans="13:17" x14ac:dyDescent="0.25">
      <c r="M2532" s="36"/>
      <c r="Q2532" s="36"/>
    </row>
    <row r="2533" spans="13:17" x14ac:dyDescent="0.25">
      <c r="M2533" s="36"/>
      <c r="Q2533" s="36"/>
    </row>
    <row r="2534" spans="13:17" x14ac:dyDescent="0.25">
      <c r="M2534" s="36"/>
      <c r="Q2534" s="36"/>
    </row>
    <row r="2535" spans="13:17" x14ac:dyDescent="0.25">
      <c r="M2535" s="36"/>
      <c r="Q2535" s="36"/>
    </row>
    <row r="2536" spans="13:17" x14ac:dyDescent="0.25">
      <c r="M2536" s="36"/>
      <c r="Q2536" s="36"/>
    </row>
    <row r="2537" spans="13:17" x14ac:dyDescent="0.25">
      <c r="M2537" s="36"/>
      <c r="Q2537" s="36"/>
    </row>
    <row r="2538" spans="13:17" x14ac:dyDescent="0.25">
      <c r="M2538" s="36"/>
      <c r="Q2538" s="36"/>
    </row>
    <row r="2539" spans="13:17" x14ac:dyDescent="0.25">
      <c r="M2539" s="36"/>
      <c r="Q2539" s="36"/>
    </row>
    <row r="2540" spans="13:17" x14ac:dyDescent="0.25">
      <c r="M2540" s="36"/>
      <c r="Q2540" s="36"/>
    </row>
    <row r="2541" spans="13:17" x14ac:dyDescent="0.25">
      <c r="M2541" s="36"/>
      <c r="Q2541" s="36"/>
    </row>
    <row r="2542" spans="13:17" x14ac:dyDescent="0.25">
      <c r="M2542" s="36"/>
      <c r="Q2542" s="36"/>
    </row>
    <row r="2543" spans="13:17" x14ac:dyDescent="0.25">
      <c r="M2543" s="36"/>
      <c r="Q2543" s="36"/>
    </row>
    <row r="2544" spans="13:17" x14ac:dyDescent="0.25">
      <c r="M2544" s="36"/>
      <c r="Q2544" s="36"/>
    </row>
    <row r="2545" spans="13:17" x14ac:dyDescent="0.25">
      <c r="M2545" s="36"/>
      <c r="Q2545" s="36"/>
    </row>
    <row r="2546" spans="13:17" x14ac:dyDescent="0.25">
      <c r="M2546" s="36"/>
      <c r="Q2546" s="36"/>
    </row>
    <row r="2547" spans="13:17" x14ac:dyDescent="0.25">
      <c r="M2547" s="36"/>
      <c r="Q2547" s="36"/>
    </row>
    <row r="2548" spans="13:17" x14ac:dyDescent="0.25">
      <c r="M2548" s="36"/>
      <c r="Q2548" s="36"/>
    </row>
    <row r="2549" spans="13:17" x14ac:dyDescent="0.25">
      <c r="M2549" s="36"/>
      <c r="Q2549" s="36"/>
    </row>
    <row r="2550" spans="13:17" x14ac:dyDescent="0.25">
      <c r="M2550" s="36"/>
      <c r="Q2550" s="36"/>
    </row>
    <row r="2551" spans="13:17" x14ac:dyDescent="0.25">
      <c r="M2551" s="36"/>
      <c r="Q2551" s="36"/>
    </row>
    <row r="2552" spans="13:17" x14ac:dyDescent="0.25">
      <c r="M2552" s="36"/>
      <c r="Q2552" s="36"/>
    </row>
    <row r="2553" spans="13:17" x14ac:dyDescent="0.25">
      <c r="M2553" s="36"/>
      <c r="Q2553" s="36"/>
    </row>
    <row r="2554" spans="13:17" x14ac:dyDescent="0.25">
      <c r="M2554" s="36"/>
      <c r="Q2554" s="36"/>
    </row>
    <row r="2555" spans="13:17" x14ac:dyDescent="0.25">
      <c r="M2555" s="36"/>
      <c r="Q2555" s="36"/>
    </row>
    <row r="2556" spans="13:17" x14ac:dyDescent="0.25">
      <c r="M2556" s="36"/>
      <c r="Q2556" s="36"/>
    </row>
    <row r="2557" spans="13:17" x14ac:dyDescent="0.25">
      <c r="M2557" s="36"/>
      <c r="Q2557" s="36"/>
    </row>
    <row r="2558" spans="13:17" x14ac:dyDescent="0.25">
      <c r="M2558" s="36"/>
      <c r="Q2558" s="36"/>
    </row>
    <row r="2559" spans="13:17" x14ac:dyDescent="0.25">
      <c r="M2559" s="36"/>
      <c r="Q2559" s="36"/>
    </row>
    <row r="2560" spans="13:17" x14ac:dyDescent="0.25">
      <c r="M2560" s="36"/>
      <c r="Q2560" s="36"/>
    </row>
    <row r="2561" spans="13:17" x14ac:dyDescent="0.25">
      <c r="M2561" s="36"/>
      <c r="Q2561" s="36"/>
    </row>
    <row r="2562" spans="13:17" x14ac:dyDescent="0.25">
      <c r="M2562" s="36"/>
      <c r="Q2562" s="36"/>
    </row>
    <row r="2563" spans="13:17" x14ac:dyDescent="0.25">
      <c r="M2563" s="36"/>
      <c r="Q2563" s="36"/>
    </row>
    <row r="2564" spans="13:17" x14ac:dyDescent="0.25">
      <c r="M2564" s="36"/>
      <c r="Q2564" s="36"/>
    </row>
    <row r="2565" spans="13:17" x14ac:dyDescent="0.25">
      <c r="M2565" s="36"/>
      <c r="Q2565" s="36"/>
    </row>
    <row r="2566" spans="13:17" x14ac:dyDescent="0.25">
      <c r="M2566" s="36"/>
      <c r="Q2566" s="36"/>
    </row>
    <row r="2567" spans="13:17" x14ac:dyDescent="0.25">
      <c r="M2567" s="36"/>
      <c r="Q2567" s="36"/>
    </row>
    <row r="2568" spans="13:17" x14ac:dyDescent="0.25">
      <c r="M2568" s="36"/>
      <c r="Q2568" s="36"/>
    </row>
    <row r="2569" spans="13:17" x14ac:dyDescent="0.25">
      <c r="M2569" s="36"/>
      <c r="Q2569" s="36"/>
    </row>
    <row r="2570" spans="13:17" x14ac:dyDescent="0.25">
      <c r="M2570" s="36"/>
      <c r="Q2570" s="36"/>
    </row>
    <row r="2571" spans="13:17" x14ac:dyDescent="0.25">
      <c r="M2571" s="36"/>
      <c r="Q2571" s="36"/>
    </row>
    <row r="2572" spans="13:17" x14ac:dyDescent="0.25">
      <c r="M2572" s="36"/>
      <c r="Q2572" s="36"/>
    </row>
    <row r="2573" spans="13:17" x14ac:dyDescent="0.25">
      <c r="M2573" s="36"/>
      <c r="Q2573" s="36"/>
    </row>
    <row r="2574" spans="13:17" x14ac:dyDescent="0.25">
      <c r="M2574" s="36"/>
      <c r="Q2574" s="36"/>
    </row>
    <row r="2575" spans="13:17" x14ac:dyDescent="0.25">
      <c r="M2575" s="36"/>
      <c r="Q2575" s="36"/>
    </row>
    <row r="2576" spans="13:17" x14ac:dyDescent="0.25">
      <c r="M2576" s="36"/>
      <c r="Q2576" s="36"/>
    </row>
    <row r="2577" spans="13:17" x14ac:dyDescent="0.25">
      <c r="M2577" s="36"/>
      <c r="Q2577" s="36"/>
    </row>
    <row r="2578" spans="13:17" x14ac:dyDescent="0.25">
      <c r="M2578" s="36"/>
      <c r="Q2578" s="36"/>
    </row>
    <row r="2579" spans="13:17" x14ac:dyDescent="0.25">
      <c r="M2579" s="36"/>
      <c r="Q2579" s="36"/>
    </row>
    <row r="2580" spans="13:17" x14ac:dyDescent="0.25">
      <c r="M2580" s="36"/>
      <c r="Q2580" s="36"/>
    </row>
    <row r="2581" spans="13:17" x14ac:dyDescent="0.25">
      <c r="M2581" s="36"/>
      <c r="Q2581" s="36"/>
    </row>
    <row r="2582" spans="13:17" x14ac:dyDescent="0.25">
      <c r="M2582" s="36"/>
      <c r="Q2582" s="36"/>
    </row>
    <row r="2583" spans="13:17" x14ac:dyDescent="0.25">
      <c r="M2583" s="36"/>
      <c r="Q2583" s="36"/>
    </row>
    <row r="2584" spans="13:17" x14ac:dyDescent="0.25">
      <c r="M2584" s="36"/>
      <c r="Q2584" s="36"/>
    </row>
    <row r="2585" spans="13:17" x14ac:dyDescent="0.25">
      <c r="M2585" s="36"/>
      <c r="Q2585" s="36"/>
    </row>
    <row r="2586" spans="13:17" x14ac:dyDescent="0.25">
      <c r="M2586" s="36"/>
      <c r="Q2586" s="36"/>
    </row>
    <row r="2587" spans="13:17" x14ac:dyDescent="0.25">
      <c r="M2587" s="36"/>
      <c r="Q2587" s="36"/>
    </row>
    <row r="2588" spans="13:17" x14ac:dyDescent="0.25">
      <c r="M2588" s="36"/>
      <c r="Q2588" s="36"/>
    </row>
    <row r="2589" spans="13:17" x14ac:dyDescent="0.25">
      <c r="M2589" s="36"/>
      <c r="Q2589" s="36"/>
    </row>
    <row r="2590" spans="13:17" x14ac:dyDescent="0.25">
      <c r="M2590" s="36"/>
      <c r="Q2590" s="36"/>
    </row>
    <row r="2591" spans="13:17" x14ac:dyDescent="0.25">
      <c r="M2591" s="36"/>
      <c r="Q2591" s="36"/>
    </row>
    <row r="2592" spans="13:17" x14ac:dyDescent="0.25">
      <c r="M2592" s="36"/>
      <c r="Q2592" s="36"/>
    </row>
    <row r="2593" spans="13:17" x14ac:dyDescent="0.25">
      <c r="M2593" s="36"/>
      <c r="Q2593" s="36"/>
    </row>
    <row r="2594" spans="13:17" x14ac:dyDescent="0.25">
      <c r="M2594" s="36"/>
      <c r="Q2594" s="36"/>
    </row>
    <row r="2595" spans="13:17" x14ac:dyDescent="0.25">
      <c r="M2595" s="36"/>
      <c r="Q2595" s="36"/>
    </row>
    <row r="2596" spans="13:17" x14ac:dyDescent="0.25">
      <c r="M2596" s="36"/>
      <c r="Q2596" s="36"/>
    </row>
    <row r="2597" spans="13:17" x14ac:dyDescent="0.25">
      <c r="M2597" s="36"/>
      <c r="Q2597" s="36"/>
    </row>
    <row r="2598" spans="13:17" x14ac:dyDescent="0.25">
      <c r="M2598" s="36"/>
      <c r="Q2598" s="36"/>
    </row>
    <row r="2599" spans="13:17" x14ac:dyDescent="0.25">
      <c r="M2599" s="36"/>
      <c r="Q2599" s="36"/>
    </row>
    <row r="2600" spans="13:17" x14ac:dyDescent="0.25">
      <c r="M2600" s="36"/>
      <c r="Q2600" s="36"/>
    </row>
    <row r="2601" spans="13:17" x14ac:dyDescent="0.25">
      <c r="M2601" s="36"/>
      <c r="Q2601" s="36"/>
    </row>
    <row r="2602" spans="13:17" x14ac:dyDescent="0.25">
      <c r="M2602" s="36"/>
      <c r="Q2602" s="36"/>
    </row>
    <row r="2603" spans="13:17" x14ac:dyDescent="0.25">
      <c r="M2603" s="36"/>
      <c r="Q2603" s="36"/>
    </row>
    <row r="2604" spans="13:17" x14ac:dyDescent="0.25">
      <c r="M2604" s="36"/>
      <c r="Q2604" s="36"/>
    </row>
    <row r="2605" spans="13:17" x14ac:dyDescent="0.25">
      <c r="M2605" s="36"/>
      <c r="Q2605" s="36"/>
    </row>
    <row r="2606" spans="13:17" x14ac:dyDescent="0.25">
      <c r="M2606" s="36"/>
      <c r="Q2606" s="36"/>
    </row>
    <row r="2607" spans="13:17" x14ac:dyDescent="0.25">
      <c r="M2607" s="36"/>
      <c r="Q2607" s="36"/>
    </row>
    <row r="2608" spans="13:17" x14ac:dyDescent="0.25">
      <c r="M2608" s="36"/>
      <c r="Q2608" s="36"/>
    </row>
    <row r="2609" spans="13:17" x14ac:dyDescent="0.25">
      <c r="M2609" s="36"/>
      <c r="Q2609" s="36"/>
    </row>
    <row r="2610" spans="13:17" x14ac:dyDescent="0.25">
      <c r="M2610" s="36"/>
      <c r="Q2610" s="36"/>
    </row>
    <row r="2611" spans="13:17" x14ac:dyDescent="0.25">
      <c r="M2611" s="36"/>
      <c r="Q2611" s="36"/>
    </row>
    <row r="2612" spans="13:17" x14ac:dyDescent="0.25">
      <c r="M2612" s="36"/>
      <c r="Q2612" s="36"/>
    </row>
    <row r="2613" spans="13:17" x14ac:dyDescent="0.25">
      <c r="M2613" s="36"/>
      <c r="Q2613" s="36"/>
    </row>
    <row r="2614" spans="13:17" x14ac:dyDescent="0.25">
      <c r="M2614" s="36"/>
      <c r="Q2614" s="36"/>
    </row>
    <row r="2615" spans="13:17" x14ac:dyDescent="0.25">
      <c r="M2615" s="36"/>
      <c r="Q2615" s="36"/>
    </row>
    <row r="2616" spans="13:17" x14ac:dyDescent="0.25">
      <c r="M2616" s="36"/>
      <c r="Q2616" s="36"/>
    </row>
    <row r="2617" spans="13:17" x14ac:dyDescent="0.25">
      <c r="M2617" s="36"/>
      <c r="Q2617" s="36"/>
    </row>
    <row r="2618" spans="13:17" x14ac:dyDescent="0.25">
      <c r="M2618" s="36"/>
      <c r="Q2618" s="36"/>
    </row>
    <row r="2619" spans="13:17" x14ac:dyDescent="0.25">
      <c r="M2619" s="36"/>
      <c r="Q2619" s="36"/>
    </row>
    <row r="2620" spans="13:17" x14ac:dyDescent="0.25">
      <c r="M2620" s="36"/>
      <c r="Q2620" s="36"/>
    </row>
    <row r="2621" spans="13:17" x14ac:dyDescent="0.25">
      <c r="M2621" s="36"/>
      <c r="Q2621" s="36"/>
    </row>
    <row r="2622" spans="13:17" x14ac:dyDescent="0.25">
      <c r="M2622" s="36"/>
      <c r="Q2622" s="36"/>
    </row>
    <row r="2623" spans="13:17" x14ac:dyDescent="0.25">
      <c r="M2623" s="36"/>
      <c r="Q2623" s="36"/>
    </row>
    <row r="2624" spans="13:17" x14ac:dyDescent="0.25">
      <c r="M2624" s="36"/>
      <c r="Q2624" s="36"/>
    </row>
    <row r="2625" spans="13:17" x14ac:dyDescent="0.25">
      <c r="M2625" s="36"/>
      <c r="Q2625" s="36"/>
    </row>
    <row r="2626" spans="13:17" x14ac:dyDescent="0.25">
      <c r="M2626" s="36"/>
      <c r="Q2626" s="36"/>
    </row>
    <row r="2627" spans="13:17" x14ac:dyDescent="0.25">
      <c r="M2627" s="36"/>
      <c r="Q2627" s="36"/>
    </row>
    <row r="2628" spans="13:17" x14ac:dyDescent="0.25">
      <c r="M2628" s="36"/>
      <c r="Q2628" s="36"/>
    </row>
    <row r="2629" spans="13:17" x14ac:dyDescent="0.25">
      <c r="M2629" s="36"/>
      <c r="Q2629" s="36"/>
    </row>
    <row r="2630" spans="13:17" x14ac:dyDescent="0.25">
      <c r="M2630" s="36"/>
      <c r="Q2630" s="36"/>
    </row>
    <row r="2631" spans="13:17" x14ac:dyDescent="0.25">
      <c r="M2631" s="36"/>
      <c r="Q2631" s="36"/>
    </row>
    <row r="2632" spans="13:17" x14ac:dyDescent="0.25">
      <c r="M2632" s="36"/>
      <c r="Q2632" s="36"/>
    </row>
    <row r="2633" spans="13:17" x14ac:dyDescent="0.25">
      <c r="M2633" s="36"/>
      <c r="Q2633" s="36"/>
    </row>
    <row r="2634" spans="13:17" x14ac:dyDescent="0.25">
      <c r="M2634" s="36"/>
      <c r="Q2634" s="36"/>
    </row>
    <row r="2635" spans="13:17" x14ac:dyDescent="0.25">
      <c r="M2635" s="36"/>
      <c r="Q2635" s="36"/>
    </row>
    <row r="2636" spans="13:17" x14ac:dyDescent="0.25">
      <c r="M2636" s="36"/>
      <c r="Q2636" s="36"/>
    </row>
    <row r="2637" spans="13:17" x14ac:dyDescent="0.25">
      <c r="M2637" s="36"/>
      <c r="Q2637" s="36"/>
    </row>
    <row r="2638" spans="13:17" x14ac:dyDescent="0.25">
      <c r="M2638" s="36"/>
      <c r="Q2638" s="36"/>
    </row>
    <row r="2639" spans="13:17" x14ac:dyDescent="0.25">
      <c r="M2639" s="36"/>
      <c r="Q2639" s="36"/>
    </row>
    <row r="2640" spans="13:17" x14ac:dyDescent="0.25">
      <c r="M2640" s="36"/>
      <c r="Q2640" s="36"/>
    </row>
    <row r="2641" spans="13:17" x14ac:dyDescent="0.25">
      <c r="M2641" s="36"/>
      <c r="Q2641" s="36"/>
    </row>
    <row r="2642" spans="13:17" x14ac:dyDescent="0.25">
      <c r="M2642" s="36"/>
      <c r="Q2642" s="36"/>
    </row>
    <row r="2643" spans="13:17" x14ac:dyDescent="0.25">
      <c r="M2643" s="36"/>
      <c r="Q2643" s="36"/>
    </row>
    <row r="2644" spans="13:17" x14ac:dyDescent="0.25">
      <c r="M2644" s="36"/>
      <c r="Q2644" s="36"/>
    </row>
    <row r="2645" spans="13:17" x14ac:dyDescent="0.25">
      <c r="M2645" s="36"/>
      <c r="Q2645" s="36"/>
    </row>
    <row r="2646" spans="13:17" x14ac:dyDescent="0.25">
      <c r="M2646" s="36"/>
      <c r="Q2646" s="36"/>
    </row>
    <row r="2647" spans="13:17" x14ac:dyDescent="0.25">
      <c r="M2647" s="36"/>
      <c r="Q2647" s="36"/>
    </row>
    <row r="2648" spans="13:17" x14ac:dyDescent="0.25">
      <c r="M2648" s="36"/>
      <c r="Q2648" s="36"/>
    </row>
    <row r="2649" spans="13:17" x14ac:dyDescent="0.25">
      <c r="M2649" s="36"/>
      <c r="Q2649" s="36"/>
    </row>
    <row r="2650" spans="13:17" x14ac:dyDescent="0.25">
      <c r="M2650" s="36"/>
      <c r="Q2650" s="36"/>
    </row>
    <row r="2651" spans="13:17" x14ac:dyDescent="0.25">
      <c r="M2651" s="36"/>
      <c r="Q2651" s="36"/>
    </row>
    <row r="2652" spans="13:17" x14ac:dyDescent="0.25">
      <c r="M2652" s="36"/>
      <c r="Q2652" s="36"/>
    </row>
    <row r="2653" spans="13:17" x14ac:dyDescent="0.25">
      <c r="M2653" s="36"/>
      <c r="Q2653" s="36"/>
    </row>
    <row r="2654" spans="13:17" x14ac:dyDescent="0.25">
      <c r="M2654" s="36"/>
      <c r="Q2654" s="36"/>
    </row>
    <row r="2655" spans="13:17" x14ac:dyDescent="0.25">
      <c r="M2655" s="36"/>
      <c r="Q2655" s="36"/>
    </row>
    <row r="2656" spans="13:17" x14ac:dyDescent="0.25">
      <c r="M2656" s="36"/>
      <c r="Q2656" s="36"/>
    </row>
    <row r="2657" spans="13:17" x14ac:dyDescent="0.25">
      <c r="M2657" s="36"/>
      <c r="Q2657" s="36"/>
    </row>
    <row r="2658" spans="13:17" x14ac:dyDescent="0.25">
      <c r="M2658" s="36"/>
      <c r="Q2658" s="36"/>
    </row>
    <row r="2659" spans="13:17" x14ac:dyDescent="0.25">
      <c r="M2659" s="36"/>
      <c r="Q2659" s="36"/>
    </row>
    <row r="2660" spans="13:17" x14ac:dyDescent="0.25">
      <c r="M2660" s="36"/>
      <c r="Q2660" s="36"/>
    </row>
    <row r="2661" spans="13:17" x14ac:dyDescent="0.25">
      <c r="M2661" s="36"/>
      <c r="Q2661" s="36"/>
    </row>
    <row r="2662" spans="13:17" x14ac:dyDescent="0.25">
      <c r="M2662" s="36"/>
      <c r="Q2662" s="36"/>
    </row>
    <row r="2663" spans="13:17" x14ac:dyDescent="0.25">
      <c r="M2663" s="36"/>
      <c r="Q2663" s="36"/>
    </row>
    <row r="2664" spans="13:17" x14ac:dyDescent="0.25">
      <c r="M2664" s="36"/>
      <c r="Q2664" s="36"/>
    </row>
    <row r="2665" spans="13:17" x14ac:dyDescent="0.25">
      <c r="M2665" s="36"/>
      <c r="Q2665" s="36"/>
    </row>
    <row r="2666" spans="13:17" x14ac:dyDescent="0.25">
      <c r="M2666" s="36"/>
      <c r="Q2666" s="36"/>
    </row>
    <row r="2667" spans="13:17" x14ac:dyDescent="0.25">
      <c r="M2667" s="36"/>
      <c r="Q2667" s="36"/>
    </row>
    <row r="2668" spans="13:17" x14ac:dyDescent="0.25">
      <c r="M2668" s="36"/>
      <c r="Q2668" s="36"/>
    </row>
    <row r="2669" spans="13:17" x14ac:dyDescent="0.25">
      <c r="M2669" s="36"/>
      <c r="Q2669" s="36"/>
    </row>
    <row r="2670" spans="13:17" x14ac:dyDescent="0.25">
      <c r="M2670" s="36"/>
      <c r="Q2670" s="36"/>
    </row>
    <row r="2671" spans="13:17" x14ac:dyDescent="0.25">
      <c r="M2671" s="36"/>
      <c r="Q2671" s="36"/>
    </row>
    <row r="2672" spans="13:17" x14ac:dyDescent="0.25">
      <c r="M2672" s="36"/>
      <c r="Q2672" s="36"/>
    </row>
    <row r="2673" spans="13:17" x14ac:dyDescent="0.25">
      <c r="M2673" s="36"/>
      <c r="Q2673" s="36"/>
    </row>
    <row r="2674" spans="13:17" x14ac:dyDescent="0.25">
      <c r="M2674" s="36"/>
      <c r="Q2674" s="36"/>
    </row>
    <row r="2675" spans="13:17" x14ac:dyDescent="0.25">
      <c r="M2675" s="36"/>
      <c r="Q2675" s="36"/>
    </row>
    <row r="2676" spans="13:17" x14ac:dyDescent="0.25">
      <c r="M2676" s="36"/>
      <c r="Q2676" s="36"/>
    </row>
    <row r="2677" spans="13:17" x14ac:dyDescent="0.25">
      <c r="M2677" s="36"/>
      <c r="Q2677" s="36"/>
    </row>
    <row r="2678" spans="13:17" x14ac:dyDescent="0.25">
      <c r="M2678" s="36"/>
      <c r="Q2678" s="36"/>
    </row>
    <row r="2679" spans="13:17" x14ac:dyDescent="0.25">
      <c r="M2679" s="36"/>
      <c r="Q2679" s="36"/>
    </row>
    <row r="2680" spans="13:17" x14ac:dyDescent="0.25">
      <c r="M2680" s="36"/>
      <c r="Q2680" s="36"/>
    </row>
    <row r="2681" spans="13:17" x14ac:dyDescent="0.25">
      <c r="M2681" s="36"/>
      <c r="Q2681" s="36"/>
    </row>
    <row r="2682" spans="13:17" x14ac:dyDescent="0.25">
      <c r="M2682" s="36"/>
      <c r="Q2682" s="36"/>
    </row>
    <row r="2683" spans="13:17" x14ac:dyDescent="0.25">
      <c r="M2683" s="36"/>
      <c r="Q2683" s="36"/>
    </row>
    <row r="2684" spans="13:17" x14ac:dyDescent="0.25">
      <c r="M2684" s="36"/>
      <c r="Q2684" s="36"/>
    </row>
    <row r="2685" spans="13:17" x14ac:dyDescent="0.25">
      <c r="M2685" s="36"/>
      <c r="Q2685" s="36"/>
    </row>
    <row r="2686" spans="13:17" x14ac:dyDescent="0.25">
      <c r="M2686" s="36"/>
      <c r="Q2686" s="36"/>
    </row>
    <row r="2687" spans="13:17" x14ac:dyDescent="0.25">
      <c r="M2687" s="36"/>
      <c r="Q2687" s="36"/>
    </row>
    <row r="2688" spans="13:17" x14ac:dyDescent="0.25">
      <c r="M2688" s="36"/>
      <c r="Q2688" s="36"/>
    </row>
    <row r="2689" spans="13:17" x14ac:dyDescent="0.25">
      <c r="M2689" s="36"/>
      <c r="Q2689" s="36"/>
    </row>
    <row r="2690" spans="13:17" x14ac:dyDescent="0.25">
      <c r="M2690" s="36"/>
      <c r="Q2690" s="36"/>
    </row>
    <row r="2691" spans="13:17" x14ac:dyDescent="0.25">
      <c r="M2691" s="36"/>
      <c r="Q2691" s="36"/>
    </row>
    <row r="2692" spans="13:17" x14ac:dyDescent="0.25">
      <c r="M2692" s="36"/>
      <c r="Q2692" s="36"/>
    </row>
    <row r="2693" spans="13:17" x14ac:dyDescent="0.25">
      <c r="M2693" s="36"/>
      <c r="Q2693" s="36"/>
    </row>
    <row r="2694" spans="13:17" x14ac:dyDescent="0.25">
      <c r="M2694" s="36"/>
      <c r="Q2694" s="36"/>
    </row>
    <row r="2695" spans="13:17" x14ac:dyDescent="0.25">
      <c r="M2695" s="36"/>
      <c r="Q2695" s="36"/>
    </row>
    <row r="2696" spans="13:17" x14ac:dyDescent="0.25">
      <c r="M2696" s="36"/>
      <c r="Q2696" s="36"/>
    </row>
    <row r="2697" spans="13:17" x14ac:dyDescent="0.25">
      <c r="M2697" s="36"/>
      <c r="Q2697" s="36"/>
    </row>
    <row r="2698" spans="13:17" x14ac:dyDescent="0.25">
      <c r="M2698" s="36"/>
      <c r="Q2698" s="36"/>
    </row>
    <row r="2699" spans="13:17" x14ac:dyDescent="0.25">
      <c r="M2699" s="36"/>
      <c r="Q2699" s="36"/>
    </row>
    <row r="2700" spans="13:17" x14ac:dyDescent="0.25">
      <c r="M2700" s="36"/>
      <c r="Q2700" s="36"/>
    </row>
    <row r="2701" spans="13:17" x14ac:dyDescent="0.25">
      <c r="M2701" s="36"/>
      <c r="Q2701" s="36"/>
    </row>
    <row r="2702" spans="13:17" x14ac:dyDescent="0.25">
      <c r="M2702" s="36"/>
      <c r="Q2702" s="36"/>
    </row>
    <row r="2703" spans="13:17" x14ac:dyDescent="0.25">
      <c r="M2703" s="36"/>
      <c r="Q2703" s="36"/>
    </row>
    <row r="2704" spans="13:17" x14ac:dyDescent="0.25">
      <c r="M2704" s="36"/>
      <c r="Q2704" s="36"/>
    </row>
    <row r="2705" spans="13:17" x14ac:dyDescent="0.25">
      <c r="M2705" s="36"/>
      <c r="Q2705" s="36"/>
    </row>
    <row r="2706" spans="13:17" x14ac:dyDescent="0.25">
      <c r="M2706" s="36"/>
      <c r="Q2706" s="36"/>
    </row>
    <row r="2707" spans="13:17" x14ac:dyDescent="0.25">
      <c r="M2707" s="36"/>
      <c r="Q2707" s="36"/>
    </row>
    <row r="2708" spans="13:17" x14ac:dyDescent="0.25">
      <c r="M2708" s="36"/>
      <c r="Q2708" s="36"/>
    </row>
    <row r="2709" spans="13:17" x14ac:dyDescent="0.25">
      <c r="M2709" s="36"/>
      <c r="Q2709" s="36"/>
    </row>
    <row r="2710" spans="13:17" x14ac:dyDescent="0.25">
      <c r="M2710" s="36"/>
      <c r="Q2710" s="36"/>
    </row>
    <row r="2711" spans="13:17" x14ac:dyDescent="0.25">
      <c r="M2711" s="36"/>
      <c r="Q2711" s="36"/>
    </row>
    <row r="2712" spans="13:17" x14ac:dyDescent="0.25">
      <c r="M2712" s="36"/>
      <c r="Q2712" s="36"/>
    </row>
    <row r="2713" spans="13:17" x14ac:dyDescent="0.25">
      <c r="M2713" s="36"/>
      <c r="Q2713" s="36"/>
    </row>
    <row r="2714" spans="13:17" x14ac:dyDescent="0.25">
      <c r="M2714" s="36"/>
      <c r="Q2714" s="36"/>
    </row>
    <row r="2715" spans="13:17" x14ac:dyDescent="0.25">
      <c r="M2715" s="36"/>
      <c r="Q2715" s="36"/>
    </row>
    <row r="2716" spans="13:17" x14ac:dyDescent="0.25">
      <c r="M2716" s="36"/>
      <c r="Q2716" s="36"/>
    </row>
    <row r="2717" spans="13:17" x14ac:dyDescent="0.25">
      <c r="M2717" s="36"/>
      <c r="Q2717" s="36"/>
    </row>
    <row r="2718" spans="13:17" x14ac:dyDescent="0.25">
      <c r="M2718" s="36"/>
      <c r="Q2718" s="36"/>
    </row>
    <row r="2719" spans="13:17" x14ac:dyDescent="0.25">
      <c r="M2719" s="36"/>
      <c r="Q2719" s="36"/>
    </row>
    <row r="2720" spans="13:17" x14ac:dyDescent="0.25">
      <c r="M2720" s="36"/>
      <c r="Q2720" s="36"/>
    </row>
    <row r="2721" spans="13:17" x14ac:dyDescent="0.25">
      <c r="M2721" s="36"/>
      <c r="Q2721" s="36"/>
    </row>
    <row r="2722" spans="13:17" x14ac:dyDescent="0.25">
      <c r="M2722" s="36"/>
      <c r="Q2722" s="36"/>
    </row>
    <row r="2723" spans="13:17" x14ac:dyDescent="0.25">
      <c r="M2723" s="36"/>
      <c r="Q2723" s="36"/>
    </row>
    <row r="2724" spans="13:17" x14ac:dyDescent="0.25">
      <c r="M2724" s="36"/>
      <c r="Q2724" s="36"/>
    </row>
    <row r="2725" spans="13:17" x14ac:dyDescent="0.25">
      <c r="M2725" s="36"/>
      <c r="Q2725" s="36"/>
    </row>
    <row r="2726" spans="13:17" x14ac:dyDescent="0.25">
      <c r="M2726" s="36"/>
      <c r="Q2726" s="36"/>
    </row>
    <row r="2727" spans="13:17" x14ac:dyDescent="0.25">
      <c r="M2727" s="36"/>
      <c r="Q2727" s="36"/>
    </row>
    <row r="2728" spans="13:17" x14ac:dyDescent="0.25">
      <c r="M2728" s="36"/>
      <c r="Q2728" s="36"/>
    </row>
    <row r="2729" spans="13:17" x14ac:dyDescent="0.25">
      <c r="M2729" s="36"/>
      <c r="Q2729" s="36"/>
    </row>
    <row r="2730" spans="13:17" x14ac:dyDescent="0.25">
      <c r="M2730" s="36"/>
      <c r="Q2730" s="36"/>
    </row>
    <row r="2731" spans="13:17" x14ac:dyDescent="0.25">
      <c r="M2731" s="36"/>
      <c r="Q2731" s="36"/>
    </row>
    <row r="2732" spans="13:17" x14ac:dyDescent="0.25">
      <c r="M2732" s="36"/>
      <c r="Q2732" s="36"/>
    </row>
    <row r="2733" spans="13:17" x14ac:dyDescent="0.25">
      <c r="M2733" s="36"/>
      <c r="Q2733" s="36"/>
    </row>
    <row r="2734" spans="13:17" x14ac:dyDescent="0.25">
      <c r="M2734" s="36"/>
      <c r="Q2734" s="36"/>
    </row>
    <row r="2735" spans="13:17" x14ac:dyDescent="0.25">
      <c r="M2735" s="36"/>
      <c r="Q2735" s="36"/>
    </row>
    <row r="2736" spans="13:17" x14ac:dyDescent="0.25">
      <c r="M2736" s="36"/>
      <c r="Q2736" s="36"/>
    </row>
    <row r="2737" spans="13:17" x14ac:dyDescent="0.25">
      <c r="M2737" s="36"/>
      <c r="Q2737" s="36"/>
    </row>
    <row r="2738" spans="13:17" x14ac:dyDescent="0.25">
      <c r="M2738" s="36"/>
      <c r="Q2738" s="36"/>
    </row>
    <row r="2739" spans="13:17" x14ac:dyDescent="0.25">
      <c r="M2739" s="36"/>
      <c r="Q2739" s="36"/>
    </row>
    <row r="2740" spans="13:17" x14ac:dyDescent="0.25">
      <c r="M2740" s="36"/>
      <c r="Q2740" s="36"/>
    </row>
    <row r="2741" spans="13:17" x14ac:dyDescent="0.25">
      <c r="M2741" s="36"/>
      <c r="Q2741" s="36"/>
    </row>
    <row r="2742" spans="13:17" x14ac:dyDescent="0.25">
      <c r="M2742" s="36"/>
      <c r="Q2742" s="36"/>
    </row>
    <row r="2743" spans="13:17" x14ac:dyDescent="0.25">
      <c r="M2743" s="36"/>
      <c r="Q2743" s="36"/>
    </row>
    <row r="2744" spans="13:17" x14ac:dyDescent="0.25">
      <c r="M2744" s="36"/>
      <c r="Q2744" s="36"/>
    </row>
    <row r="2745" spans="13:17" x14ac:dyDescent="0.25">
      <c r="M2745" s="36"/>
      <c r="Q2745" s="36"/>
    </row>
    <row r="2746" spans="13:17" x14ac:dyDescent="0.25">
      <c r="M2746" s="36"/>
      <c r="Q2746" s="36"/>
    </row>
    <row r="2747" spans="13:17" x14ac:dyDescent="0.25">
      <c r="M2747" s="36"/>
      <c r="Q2747" s="36"/>
    </row>
    <row r="2748" spans="13:17" x14ac:dyDescent="0.25">
      <c r="M2748" s="36"/>
      <c r="Q2748" s="36"/>
    </row>
    <row r="2749" spans="13:17" x14ac:dyDescent="0.25">
      <c r="M2749" s="36"/>
      <c r="Q2749" s="36"/>
    </row>
    <row r="2750" spans="13:17" x14ac:dyDescent="0.25">
      <c r="M2750" s="36"/>
      <c r="Q2750" s="36"/>
    </row>
    <row r="2751" spans="13:17" x14ac:dyDescent="0.25">
      <c r="M2751" s="36"/>
      <c r="Q2751" s="36"/>
    </row>
    <row r="2752" spans="13:17" x14ac:dyDescent="0.25">
      <c r="M2752" s="36"/>
      <c r="Q2752" s="36"/>
    </row>
    <row r="2753" spans="13:17" x14ac:dyDescent="0.25">
      <c r="M2753" s="36"/>
      <c r="Q2753" s="36"/>
    </row>
    <row r="2754" spans="13:17" x14ac:dyDescent="0.25">
      <c r="M2754" s="36"/>
      <c r="Q2754" s="36"/>
    </row>
    <row r="2755" spans="13:17" x14ac:dyDescent="0.25">
      <c r="M2755" s="36"/>
      <c r="Q2755" s="36"/>
    </row>
    <row r="2756" spans="13:17" x14ac:dyDescent="0.25">
      <c r="M2756" s="36"/>
      <c r="Q2756" s="36"/>
    </row>
    <row r="2757" spans="13:17" x14ac:dyDescent="0.25">
      <c r="M2757" s="36"/>
      <c r="Q2757" s="36"/>
    </row>
    <row r="2758" spans="13:17" x14ac:dyDescent="0.25">
      <c r="M2758" s="36"/>
      <c r="Q2758" s="36"/>
    </row>
    <row r="2759" spans="13:17" x14ac:dyDescent="0.25">
      <c r="M2759" s="36"/>
      <c r="Q2759" s="36"/>
    </row>
    <row r="2760" spans="13:17" x14ac:dyDescent="0.25">
      <c r="M2760" s="36"/>
      <c r="Q2760" s="36"/>
    </row>
    <row r="2761" spans="13:17" x14ac:dyDescent="0.25">
      <c r="M2761" s="36"/>
      <c r="Q2761" s="36"/>
    </row>
    <row r="2762" spans="13:17" x14ac:dyDescent="0.25">
      <c r="M2762" s="36"/>
      <c r="Q2762" s="36"/>
    </row>
    <row r="2763" spans="13:17" x14ac:dyDescent="0.25">
      <c r="M2763" s="36"/>
      <c r="Q2763" s="36"/>
    </row>
    <row r="2764" spans="13:17" x14ac:dyDescent="0.25">
      <c r="M2764" s="36"/>
      <c r="Q2764" s="36"/>
    </row>
    <row r="2765" spans="13:17" x14ac:dyDescent="0.25">
      <c r="M2765" s="36"/>
      <c r="Q2765" s="36"/>
    </row>
    <row r="2766" spans="13:17" x14ac:dyDescent="0.25">
      <c r="M2766" s="36"/>
      <c r="Q2766" s="36"/>
    </row>
    <row r="2767" spans="13:17" x14ac:dyDescent="0.25">
      <c r="M2767" s="36"/>
      <c r="Q2767" s="36"/>
    </row>
    <row r="2768" spans="13:17" x14ac:dyDescent="0.25">
      <c r="M2768" s="36"/>
      <c r="Q2768" s="36"/>
    </row>
    <row r="2769" spans="13:17" x14ac:dyDescent="0.25">
      <c r="M2769" s="36"/>
      <c r="Q2769" s="36"/>
    </row>
    <row r="2770" spans="13:17" x14ac:dyDescent="0.25">
      <c r="M2770" s="36"/>
      <c r="Q2770" s="36"/>
    </row>
    <row r="2771" spans="13:17" x14ac:dyDescent="0.25">
      <c r="M2771" s="36"/>
      <c r="Q2771" s="36"/>
    </row>
    <row r="2772" spans="13:17" x14ac:dyDescent="0.25">
      <c r="M2772" s="36"/>
      <c r="Q2772" s="36"/>
    </row>
    <row r="2773" spans="13:17" x14ac:dyDescent="0.25">
      <c r="M2773" s="36"/>
      <c r="Q2773" s="36"/>
    </row>
    <row r="2774" spans="13:17" x14ac:dyDescent="0.25">
      <c r="M2774" s="36"/>
      <c r="Q2774" s="36"/>
    </row>
    <row r="2775" spans="13:17" x14ac:dyDescent="0.25">
      <c r="M2775" s="36"/>
      <c r="Q2775" s="36"/>
    </row>
    <row r="2776" spans="13:17" x14ac:dyDescent="0.25">
      <c r="M2776" s="36"/>
      <c r="Q2776" s="36"/>
    </row>
    <row r="2777" spans="13:17" x14ac:dyDescent="0.25">
      <c r="M2777" s="36"/>
      <c r="Q2777" s="36"/>
    </row>
    <row r="2778" spans="13:17" x14ac:dyDescent="0.25">
      <c r="M2778" s="36"/>
      <c r="Q2778" s="36"/>
    </row>
    <row r="2779" spans="13:17" x14ac:dyDescent="0.25">
      <c r="M2779" s="36"/>
      <c r="Q2779" s="36"/>
    </row>
    <row r="2780" spans="13:17" x14ac:dyDescent="0.25">
      <c r="M2780" s="36"/>
      <c r="Q2780" s="36"/>
    </row>
    <row r="2781" spans="13:17" x14ac:dyDescent="0.25">
      <c r="M2781" s="36"/>
      <c r="Q2781" s="36"/>
    </row>
    <row r="2782" spans="13:17" x14ac:dyDescent="0.25">
      <c r="M2782" s="36"/>
      <c r="Q2782" s="36"/>
    </row>
    <row r="2783" spans="13:17" x14ac:dyDescent="0.25">
      <c r="M2783" s="36"/>
      <c r="Q2783" s="36"/>
    </row>
    <row r="2784" spans="13:17" x14ac:dyDescent="0.25">
      <c r="M2784" s="36"/>
      <c r="Q2784" s="36"/>
    </row>
    <row r="2785" spans="13:17" x14ac:dyDescent="0.25">
      <c r="M2785" s="36"/>
      <c r="Q2785" s="36"/>
    </row>
    <row r="2786" spans="13:17" x14ac:dyDescent="0.25">
      <c r="M2786" s="36"/>
      <c r="Q2786" s="36"/>
    </row>
    <row r="2787" spans="13:17" x14ac:dyDescent="0.25">
      <c r="M2787" s="36"/>
      <c r="Q2787" s="36"/>
    </row>
    <row r="2788" spans="13:17" x14ac:dyDescent="0.25">
      <c r="M2788" s="36"/>
      <c r="Q2788" s="36"/>
    </row>
    <row r="2789" spans="13:17" x14ac:dyDescent="0.25">
      <c r="M2789" s="36"/>
      <c r="Q2789" s="36"/>
    </row>
    <row r="2790" spans="13:17" x14ac:dyDescent="0.25">
      <c r="M2790" s="36"/>
      <c r="Q2790" s="36"/>
    </row>
    <row r="2791" spans="13:17" x14ac:dyDescent="0.25">
      <c r="M2791" s="36"/>
      <c r="Q2791" s="36"/>
    </row>
    <row r="2792" spans="13:17" x14ac:dyDescent="0.25">
      <c r="M2792" s="36"/>
      <c r="Q2792" s="36"/>
    </row>
    <row r="2793" spans="13:17" x14ac:dyDescent="0.25">
      <c r="M2793" s="36"/>
      <c r="Q2793" s="36"/>
    </row>
    <row r="2794" spans="13:17" x14ac:dyDescent="0.25">
      <c r="M2794" s="36"/>
      <c r="Q2794" s="36"/>
    </row>
    <row r="2795" spans="13:17" x14ac:dyDescent="0.25">
      <c r="M2795" s="36"/>
      <c r="Q2795" s="36"/>
    </row>
    <row r="2796" spans="13:17" x14ac:dyDescent="0.25">
      <c r="M2796" s="36"/>
      <c r="Q2796" s="36"/>
    </row>
    <row r="2797" spans="13:17" x14ac:dyDescent="0.25">
      <c r="M2797" s="36"/>
      <c r="Q2797" s="36"/>
    </row>
    <row r="2798" spans="13:17" x14ac:dyDescent="0.25">
      <c r="M2798" s="36"/>
      <c r="Q2798" s="36"/>
    </row>
    <row r="2799" spans="13:17" x14ac:dyDescent="0.25">
      <c r="M2799" s="36"/>
      <c r="Q2799" s="36"/>
    </row>
    <row r="2800" spans="13:17" x14ac:dyDescent="0.25">
      <c r="M2800" s="36"/>
      <c r="Q2800" s="36"/>
    </row>
    <row r="2801" spans="13:17" x14ac:dyDescent="0.25">
      <c r="M2801" s="36"/>
      <c r="Q2801" s="36"/>
    </row>
    <row r="2802" spans="13:17" x14ac:dyDescent="0.25">
      <c r="M2802" s="36"/>
      <c r="Q2802" s="36"/>
    </row>
    <row r="2803" spans="13:17" x14ac:dyDescent="0.25">
      <c r="M2803" s="36"/>
      <c r="Q2803" s="36"/>
    </row>
    <row r="2804" spans="13:17" x14ac:dyDescent="0.25">
      <c r="M2804" s="36"/>
      <c r="Q2804" s="36"/>
    </row>
    <row r="2805" spans="13:17" x14ac:dyDescent="0.25">
      <c r="M2805" s="36"/>
      <c r="Q2805" s="36"/>
    </row>
    <row r="2806" spans="13:17" x14ac:dyDescent="0.25">
      <c r="M2806" s="36"/>
      <c r="Q2806" s="36"/>
    </row>
    <row r="2807" spans="13:17" x14ac:dyDescent="0.25">
      <c r="M2807" s="36"/>
      <c r="Q2807" s="36"/>
    </row>
    <row r="2808" spans="13:17" x14ac:dyDescent="0.25">
      <c r="M2808" s="36"/>
      <c r="Q2808" s="36"/>
    </row>
    <row r="2809" spans="13:17" x14ac:dyDescent="0.25">
      <c r="M2809" s="36"/>
      <c r="Q2809" s="36"/>
    </row>
    <row r="2810" spans="13:17" x14ac:dyDescent="0.25">
      <c r="M2810" s="36"/>
      <c r="Q2810" s="36"/>
    </row>
    <row r="2811" spans="13:17" x14ac:dyDescent="0.25">
      <c r="M2811" s="36"/>
      <c r="Q2811" s="36"/>
    </row>
    <row r="2812" spans="13:17" x14ac:dyDescent="0.25">
      <c r="M2812" s="36"/>
      <c r="Q2812" s="36"/>
    </row>
    <row r="2813" spans="13:17" x14ac:dyDescent="0.25">
      <c r="M2813" s="36"/>
      <c r="Q2813" s="36"/>
    </row>
    <row r="2814" spans="13:17" x14ac:dyDescent="0.25">
      <c r="M2814" s="36"/>
      <c r="Q2814" s="36"/>
    </row>
    <row r="2815" spans="13:17" x14ac:dyDescent="0.25">
      <c r="M2815" s="36"/>
      <c r="Q2815" s="36"/>
    </row>
    <row r="2816" spans="13:17" x14ac:dyDescent="0.25">
      <c r="M2816" s="36"/>
      <c r="Q2816" s="36"/>
    </row>
    <row r="2817" spans="13:17" x14ac:dyDescent="0.25">
      <c r="M2817" s="36"/>
      <c r="Q2817" s="36"/>
    </row>
    <row r="2818" spans="13:17" x14ac:dyDescent="0.25">
      <c r="M2818" s="36"/>
      <c r="Q2818" s="36"/>
    </row>
    <row r="2819" spans="13:17" x14ac:dyDescent="0.25">
      <c r="M2819" s="36"/>
      <c r="Q2819" s="36"/>
    </row>
    <row r="2820" spans="13:17" x14ac:dyDescent="0.25">
      <c r="M2820" s="36"/>
      <c r="Q2820" s="36"/>
    </row>
    <row r="2821" spans="13:17" x14ac:dyDescent="0.25">
      <c r="M2821" s="36"/>
      <c r="Q2821" s="36"/>
    </row>
    <row r="2822" spans="13:17" x14ac:dyDescent="0.25">
      <c r="M2822" s="36"/>
      <c r="Q2822" s="36"/>
    </row>
    <row r="2823" spans="13:17" x14ac:dyDescent="0.25">
      <c r="M2823" s="36"/>
      <c r="Q2823" s="36"/>
    </row>
    <row r="2824" spans="13:17" x14ac:dyDescent="0.25">
      <c r="M2824" s="36"/>
      <c r="Q2824" s="36"/>
    </row>
    <row r="2825" spans="13:17" x14ac:dyDescent="0.25">
      <c r="M2825" s="36"/>
      <c r="Q2825" s="36"/>
    </row>
    <row r="2826" spans="13:17" x14ac:dyDescent="0.25">
      <c r="M2826" s="36"/>
      <c r="Q2826" s="36"/>
    </row>
    <row r="2827" spans="13:17" x14ac:dyDescent="0.25">
      <c r="M2827" s="36"/>
      <c r="Q2827" s="36"/>
    </row>
    <row r="2828" spans="13:17" x14ac:dyDescent="0.25">
      <c r="M2828" s="36"/>
      <c r="Q2828" s="36"/>
    </row>
    <row r="2829" spans="13:17" x14ac:dyDescent="0.25">
      <c r="M2829" s="36"/>
      <c r="Q2829" s="36"/>
    </row>
    <row r="2830" spans="13:17" x14ac:dyDescent="0.25">
      <c r="M2830" s="36"/>
      <c r="Q2830" s="36"/>
    </row>
    <row r="2831" spans="13:17" x14ac:dyDescent="0.25">
      <c r="M2831" s="36"/>
      <c r="Q2831" s="36"/>
    </row>
    <row r="2832" spans="13:17" x14ac:dyDescent="0.25">
      <c r="M2832" s="36"/>
      <c r="Q2832" s="36"/>
    </row>
    <row r="2833" spans="13:17" x14ac:dyDescent="0.25">
      <c r="M2833" s="36"/>
      <c r="Q2833" s="36"/>
    </row>
    <row r="2834" spans="13:17" x14ac:dyDescent="0.25">
      <c r="M2834" s="36"/>
      <c r="Q2834" s="36"/>
    </row>
    <row r="2835" spans="13:17" x14ac:dyDescent="0.25">
      <c r="M2835" s="36"/>
      <c r="Q2835" s="36"/>
    </row>
    <row r="2836" spans="13:17" x14ac:dyDescent="0.25">
      <c r="M2836" s="36"/>
      <c r="Q2836" s="36"/>
    </row>
    <row r="2837" spans="13:17" x14ac:dyDescent="0.25">
      <c r="M2837" s="36"/>
      <c r="Q2837" s="36"/>
    </row>
    <row r="2838" spans="13:17" x14ac:dyDescent="0.25">
      <c r="M2838" s="36"/>
      <c r="Q2838" s="36"/>
    </row>
    <row r="2839" spans="13:17" x14ac:dyDescent="0.25">
      <c r="M2839" s="36"/>
      <c r="Q2839" s="36"/>
    </row>
    <row r="2840" spans="13:17" x14ac:dyDescent="0.25">
      <c r="M2840" s="36"/>
      <c r="Q2840" s="36"/>
    </row>
    <row r="2841" spans="13:17" x14ac:dyDescent="0.25">
      <c r="M2841" s="36"/>
      <c r="Q2841" s="36"/>
    </row>
    <row r="2842" spans="13:17" x14ac:dyDescent="0.25">
      <c r="M2842" s="36"/>
      <c r="Q2842" s="36"/>
    </row>
    <row r="2843" spans="13:17" x14ac:dyDescent="0.25">
      <c r="M2843" s="36"/>
      <c r="Q2843" s="36"/>
    </row>
    <row r="2844" spans="13:17" x14ac:dyDescent="0.25">
      <c r="M2844" s="36"/>
      <c r="Q2844" s="36"/>
    </row>
    <row r="2845" spans="13:17" x14ac:dyDescent="0.25">
      <c r="M2845" s="36"/>
      <c r="Q2845" s="36"/>
    </row>
    <row r="2846" spans="13:17" x14ac:dyDescent="0.25">
      <c r="M2846" s="36"/>
      <c r="Q2846" s="36"/>
    </row>
    <row r="2847" spans="13:17" x14ac:dyDescent="0.25">
      <c r="M2847" s="36"/>
      <c r="Q2847" s="36"/>
    </row>
    <row r="2848" spans="13:17" x14ac:dyDescent="0.25">
      <c r="M2848" s="36"/>
      <c r="Q2848" s="36"/>
    </row>
    <row r="2849" spans="13:17" x14ac:dyDescent="0.25">
      <c r="M2849" s="36"/>
      <c r="Q2849" s="36"/>
    </row>
    <row r="2850" spans="13:17" x14ac:dyDescent="0.25">
      <c r="M2850" s="36"/>
      <c r="Q2850" s="36"/>
    </row>
    <row r="2851" spans="13:17" x14ac:dyDescent="0.25">
      <c r="M2851" s="36"/>
      <c r="Q2851" s="36"/>
    </row>
    <row r="2852" spans="13:17" x14ac:dyDescent="0.25">
      <c r="M2852" s="36"/>
      <c r="Q2852" s="36"/>
    </row>
    <row r="2853" spans="13:17" x14ac:dyDescent="0.25">
      <c r="M2853" s="36"/>
      <c r="Q2853" s="36"/>
    </row>
    <row r="2854" spans="13:17" x14ac:dyDescent="0.25">
      <c r="M2854" s="36"/>
      <c r="Q2854" s="36"/>
    </row>
    <row r="2855" spans="13:17" x14ac:dyDescent="0.25">
      <c r="M2855" s="36"/>
      <c r="Q2855" s="36"/>
    </row>
    <row r="2856" spans="13:17" x14ac:dyDescent="0.25">
      <c r="M2856" s="36"/>
      <c r="Q2856" s="36"/>
    </row>
    <row r="2857" spans="13:17" x14ac:dyDescent="0.25">
      <c r="M2857" s="36"/>
      <c r="Q2857" s="36"/>
    </row>
    <row r="2858" spans="13:17" x14ac:dyDescent="0.25">
      <c r="M2858" s="36"/>
      <c r="Q2858" s="36"/>
    </row>
    <row r="2859" spans="13:17" x14ac:dyDescent="0.25">
      <c r="M2859" s="36"/>
      <c r="Q2859" s="36"/>
    </row>
    <row r="2860" spans="13:17" x14ac:dyDescent="0.25">
      <c r="M2860" s="36"/>
      <c r="Q2860" s="36"/>
    </row>
    <row r="2861" spans="13:17" x14ac:dyDescent="0.25">
      <c r="M2861" s="36"/>
      <c r="Q2861" s="36"/>
    </row>
    <row r="2862" spans="13:17" x14ac:dyDescent="0.25">
      <c r="M2862" s="36"/>
      <c r="Q2862" s="36"/>
    </row>
    <row r="2863" spans="13:17" x14ac:dyDescent="0.25">
      <c r="M2863" s="36"/>
      <c r="Q2863" s="36"/>
    </row>
    <row r="2864" spans="13:17" x14ac:dyDescent="0.25">
      <c r="M2864" s="36"/>
      <c r="Q2864" s="36"/>
    </row>
    <row r="2865" spans="13:17" x14ac:dyDescent="0.25">
      <c r="M2865" s="36"/>
      <c r="Q2865" s="36"/>
    </row>
    <row r="2866" spans="13:17" x14ac:dyDescent="0.25">
      <c r="M2866" s="36"/>
      <c r="Q2866" s="36"/>
    </row>
    <row r="2867" spans="13:17" x14ac:dyDescent="0.25">
      <c r="M2867" s="36"/>
      <c r="Q2867" s="36"/>
    </row>
    <row r="2868" spans="13:17" x14ac:dyDescent="0.25">
      <c r="M2868" s="36"/>
      <c r="Q2868" s="36"/>
    </row>
    <row r="2869" spans="13:17" x14ac:dyDescent="0.25">
      <c r="M2869" s="36"/>
      <c r="Q2869" s="36"/>
    </row>
    <row r="2870" spans="13:17" x14ac:dyDescent="0.25">
      <c r="M2870" s="36"/>
      <c r="Q2870" s="36"/>
    </row>
    <row r="2871" spans="13:17" x14ac:dyDescent="0.25">
      <c r="M2871" s="36"/>
      <c r="Q2871" s="36"/>
    </row>
    <row r="2872" spans="13:17" x14ac:dyDescent="0.25">
      <c r="M2872" s="36"/>
      <c r="Q2872" s="36"/>
    </row>
    <row r="2873" spans="13:17" x14ac:dyDescent="0.25">
      <c r="M2873" s="36"/>
      <c r="Q2873" s="36"/>
    </row>
    <row r="2874" spans="13:17" x14ac:dyDescent="0.25">
      <c r="M2874" s="36"/>
      <c r="Q2874" s="36"/>
    </row>
    <row r="2875" spans="13:17" x14ac:dyDescent="0.25">
      <c r="M2875" s="36"/>
      <c r="Q2875" s="36"/>
    </row>
    <row r="2876" spans="13:17" x14ac:dyDescent="0.25">
      <c r="M2876" s="36"/>
      <c r="Q2876" s="36"/>
    </row>
    <row r="2877" spans="13:17" x14ac:dyDescent="0.25">
      <c r="M2877" s="36"/>
      <c r="Q2877" s="36"/>
    </row>
    <row r="2878" spans="13:17" x14ac:dyDescent="0.25">
      <c r="M2878" s="36"/>
      <c r="Q2878" s="36"/>
    </row>
    <row r="2879" spans="13:17" x14ac:dyDescent="0.25">
      <c r="M2879" s="36"/>
      <c r="Q2879" s="36"/>
    </row>
    <row r="2880" spans="13:17" x14ac:dyDescent="0.25">
      <c r="M2880" s="36"/>
      <c r="Q2880" s="36"/>
    </row>
    <row r="2881" spans="13:17" x14ac:dyDescent="0.25">
      <c r="M2881" s="36"/>
      <c r="Q2881" s="36"/>
    </row>
    <row r="2882" spans="13:17" x14ac:dyDescent="0.25">
      <c r="M2882" s="36"/>
      <c r="Q2882" s="36"/>
    </row>
    <row r="2883" spans="13:17" x14ac:dyDescent="0.25">
      <c r="M2883" s="36"/>
      <c r="Q2883" s="36"/>
    </row>
    <row r="2884" spans="13:17" x14ac:dyDescent="0.25">
      <c r="M2884" s="36"/>
      <c r="Q2884" s="36"/>
    </row>
    <row r="2885" spans="13:17" x14ac:dyDescent="0.25">
      <c r="M2885" s="36"/>
      <c r="Q2885" s="36"/>
    </row>
    <row r="2886" spans="13:17" x14ac:dyDescent="0.25">
      <c r="M2886" s="36"/>
      <c r="Q2886" s="36"/>
    </row>
    <row r="2887" spans="13:17" x14ac:dyDescent="0.25">
      <c r="M2887" s="36"/>
      <c r="Q2887" s="36"/>
    </row>
    <row r="2888" spans="13:17" x14ac:dyDescent="0.25">
      <c r="M2888" s="36"/>
      <c r="Q2888" s="36"/>
    </row>
    <row r="2889" spans="13:17" x14ac:dyDescent="0.25">
      <c r="M2889" s="36"/>
      <c r="Q2889" s="36"/>
    </row>
    <row r="2890" spans="13:17" x14ac:dyDescent="0.25">
      <c r="M2890" s="36"/>
      <c r="Q2890" s="36"/>
    </row>
    <row r="2891" spans="13:17" x14ac:dyDescent="0.25">
      <c r="M2891" s="36"/>
      <c r="Q2891" s="36"/>
    </row>
    <row r="2892" spans="13:17" x14ac:dyDescent="0.25">
      <c r="M2892" s="36"/>
      <c r="Q2892" s="36"/>
    </row>
    <row r="2893" spans="13:17" x14ac:dyDescent="0.25">
      <c r="M2893" s="36"/>
      <c r="Q2893" s="36"/>
    </row>
    <row r="2894" spans="13:17" x14ac:dyDescent="0.25">
      <c r="M2894" s="36"/>
      <c r="Q2894" s="36"/>
    </row>
    <row r="2895" spans="13:17" x14ac:dyDescent="0.25">
      <c r="M2895" s="36"/>
      <c r="Q2895" s="36"/>
    </row>
    <row r="2896" spans="13:17" x14ac:dyDescent="0.25">
      <c r="M2896" s="36"/>
      <c r="Q2896" s="36"/>
    </row>
    <row r="2897" spans="13:17" x14ac:dyDescent="0.25">
      <c r="M2897" s="36"/>
      <c r="Q2897" s="36"/>
    </row>
    <row r="2898" spans="13:17" x14ac:dyDescent="0.25">
      <c r="M2898" s="36"/>
      <c r="Q2898" s="36"/>
    </row>
    <row r="2899" spans="13:17" x14ac:dyDescent="0.25">
      <c r="M2899" s="36"/>
      <c r="Q2899" s="36"/>
    </row>
    <row r="2900" spans="13:17" x14ac:dyDescent="0.25">
      <c r="M2900" s="36"/>
      <c r="Q2900" s="36"/>
    </row>
    <row r="2901" spans="13:17" x14ac:dyDescent="0.25">
      <c r="M2901" s="36"/>
      <c r="Q2901" s="36"/>
    </row>
    <row r="2902" spans="13:17" x14ac:dyDescent="0.25">
      <c r="M2902" s="36"/>
      <c r="Q2902" s="36"/>
    </row>
    <row r="2903" spans="13:17" x14ac:dyDescent="0.25">
      <c r="M2903" s="36"/>
      <c r="Q2903" s="36"/>
    </row>
    <row r="2904" spans="13:17" x14ac:dyDescent="0.25">
      <c r="M2904" s="36"/>
      <c r="Q2904" s="36"/>
    </row>
    <row r="2905" spans="13:17" x14ac:dyDescent="0.25">
      <c r="M2905" s="36"/>
      <c r="Q2905" s="36"/>
    </row>
    <row r="2906" spans="13:17" x14ac:dyDescent="0.25">
      <c r="M2906" s="36"/>
      <c r="Q2906" s="36"/>
    </row>
    <row r="2907" spans="13:17" x14ac:dyDescent="0.25">
      <c r="M2907" s="36"/>
      <c r="Q2907" s="36"/>
    </row>
    <row r="2908" spans="13:17" x14ac:dyDescent="0.25">
      <c r="M2908" s="36"/>
      <c r="Q2908" s="36"/>
    </row>
    <row r="2909" spans="13:17" x14ac:dyDescent="0.25">
      <c r="M2909" s="36"/>
      <c r="Q2909" s="36"/>
    </row>
    <row r="2910" spans="13:17" x14ac:dyDescent="0.25">
      <c r="M2910" s="36"/>
      <c r="Q2910" s="36"/>
    </row>
    <row r="2911" spans="13:17" x14ac:dyDescent="0.25">
      <c r="M2911" s="36"/>
      <c r="Q2911" s="36"/>
    </row>
    <row r="2912" spans="13:17" x14ac:dyDescent="0.25">
      <c r="M2912" s="36"/>
      <c r="Q2912" s="36"/>
    </row>
    <row r="2913" spans="13:17" x14ac:dyDescent="0.25">
      <c r="M2913" s="36"/>
      <c r="Q2913" s="36"/>
    </row>
    <row r="2914" spans="13:17" x14ac:dyDescent="0.25">
      <c r="M2914" s="36"/>
      <c r="Q2914" s="36"/>
    </row>
    <row r="2915" spans="13:17" x14ac:dyDescent="0.25">
      <c r="M2915" s="36"/>
      <c r="Q2915" s="36"/>
    </row>
    <row r="2916" spans="13:17" x14ac:dyDescent="0.25">
      <c r="M2916" s="36"/>
      <c r="Q2916" s="36"/>
    </row>
    <row r="2917" spans="13:17" x14ac:dyDescent="0.25">
      <c r="M2917" s="36"/>
      <c r="Q2917" s="36"/>
    </row>
    <row r="2918" spans="13:17" x14ac:dyDescent="0.25">
      <c r="M2918" s="36"/>
      <c r="Q2918" s="36"/>
    </row>
    <row r="2919" spans="13:17" x14ac:dyDescent="0.25">
      <c r="M2919" s="36"/>
      <c r="Q2919" s="36"/>
    </row>
    <row r="2920" spans="13:17" x14ac:dyDescent="0.25">
      <c r="M2920" s="36"/>
      <c r="Q2920" s="36"/>
    </row>
    <row r="2921" spans="13:17" x14ac:dyDescent="0.25">
      <c r="M2921" s="36"/>
      <c r="Q2921" s="36"/>
    </row>
    <row r="2922" spans="13:17" x14ac:dyDescent="0.25">
      <c r="M2922" s="36"/>
      <c r="Q2922" s="36"/>
    </row>
    <row r="2923" spans="13:17" x14ac:dyDescent="0.25">
      <c r="M2923" s="36"/>
      <c r="Q2923" s="36"/>
    </row>
    <row r="2924" spans="13:17" x14ac:dyDescent="0.25">
      <c r="M2924" s="36"/>
      <c r="Q2924" s="36"/>
    </row>
    <row r="2925" spans="13:17" x14ac:dyDescent="0.25">
      <c r="M2925" s="36"/>
      <c r="Q2925" s="36"/>
    </row>
    <row r="2926" spans="13:17" x14ac:dyDescent="0.25">
      <c r="M2926" s="36"/>
      <c r="Q2926" s="36"/>
    </row>
    <row r="2927" spans="13:17" x14ac:dyDescent="0.25">
      <c r="M2927" s="36"/>
      <c r="Q2927" s="36"/>
    </row>
    <row r="2928" spans="13:17" x14ac:dyDescent="0.25">
      <c r="M2928" s="36"/>
      <c r="Q2928" s="36"/>
    </row>
    <row r="2929" spans="13:17" x14ac:dyDescent="0.25">
      <c r="M2929" s="36"/>
      <c r="Q2929" s="36"/>
    </row>
    <row r="2930" spans="13:17" x14ac:dyDescent="0.25">
      <c r="M2930" s="36"/>
      <c r="Q2930" s="36"/>
    </row>
    <row r="2931" spans="13:17" x14ac:dyDescent="0.25">
      <c r="M2931" s="36"/>
      <c r="Q2931" s="36"/>
    </row>
    <row r="2932" spans="13:17" x14ac:dyDescent="0.25">
      <c r="M2932" s="36"/>
      <c r="Q2932" s="36"/>
    </row>
    <row r="2933" spans="13:17" x14ac:dyDescent="0.25">
      <c r="M2933" s="36"/>
      <c r="Q2933" s="36"/>
    </row>
    <row r="2934" spans="13:17" x14ac:dyDescent="0.25">
      <c r="M2934" s="36"/>
      <c r="Q2934" s="36"/>
    </row>
    <row r="2935" spans="13:17" x14ac:dyDescent="0.25">
      <c r="M2935" s="36"/>
      <c r="Q2935" s="36"/>
    </row>
    <row r="2936" spans="13:17" x14ac:dyDescent="0.25">
      <c r="M2936" s="36"/>
      <c r="Q2936" s="36"/>
    </row>
    <row r="2937" spans="13:17" x14ac:dyDescent="0.25">
      <c r="M2937" s="36"/>
      <c r="Q2937" s="36"/>
    </row>
    <row r="2938" spans="13:17" x14ac:dyDescent="0.25">
      <c r="M2938" s="36"/>
      <c r="Q2938" s="36"/>
    </row>
    <row r="2939" spans="13:17" x14ac:dyDescent="0.25">
      <c r="M2939" s="36"/>
      <c r="Q2939" s="36"/>
    </row>
    <row r="2940" spans="13:17" x14ac:dyDescent="0.25">
      <c r="M2940" s="36"/>
      <c r="Q2940" s="36"/>
    </row>
    <row r="2941" spans="13:17" x14ac:dyDescent="0.25">
      <c r="M2941" s="36"/>
      <c r="Q2941" s="36"/>
    </row>
    <row r="2942" spans="13:17" x14ac:dyDescent="0.25">
      <c r="M2942" s="36"/>
      <c r="Q2942" s="36"/>
    </row>
    <row r="2943" spans="13:17" x14ac:dyDescent="0.25">
      <c r="M2943" s="36"/>
      <c r="Q2943" s="36"/>
    </row>
    <row r="2944" spans="13:17" x14ac:dyDescent="0.25">
      <c r="M2944" s="36"/>
      <c r="Q2944" s="36"/>
    </row>
    <row r="2945" spans="13:17" x14ac:dyDescent="0.25">
      <c r="M2945" s="36"/>
      <c r="Q2945" s="36"/>
    </row>
    <row r="2946" spans="13:17" x14ac:dyDescent="0.25">
      <c r="M2946" s="36"/>
      <c r="Q2946" s="36"/>
    </row>
    <row r="2947" spans="13:17" x14ac:dyDescent="0.25">
      <c r="M2947" s="36"/>
      <c r="Q2947" s="36"/>
    </row>
    <row r="2948" spans="13:17" x14ac:dyDescent="0.25">
      <c r="M2948" s="36"/>
      <c r="Q2948" s="36"/>
    </row>
    <row r="2949" spans="13:17" x14ac:dyDescent="0.25">
      <c r="M2949" s="36"/>
      <c r="Q2949" s="36"/>
    </row>
    <row r="2950" spans="13:17" x14ac:dyDescent="0.25">
      <c r="M2950" s="36"/>
      <c r="Q2950" s="36"/>
    </row>
    <row r="2951" spans="13:17" x14ac:dyDescent="0.25">
      <c r="M2951" s="36"/>
      <c r="Q2951" s="36"/>
    </row>
    <row r="2952" spans="13:17" x14ac:dyDescent="0.25">
      <c r="M2952" s="36"/>
      <c r="Q2952" s="36"/>
    </row>
    <row r="2953" spans="13:17" x14ac:dyDescent="0.25">
      <c r="M2953" s="36"/>
      <c r="Q2953" s="36"/>
    </row>
    <row r="2954" spans="13:17" x14ac:dyDescent="0.25">
      <c r="M2954" s="36"/>
      <c r="Q2954" s="36"/>
    </row>
    <row r="2955" spans="13:17" x14ac:dyDescent="0.25">
      <c r="M2955" s="36"/>
      <c r="Q2955" s="36"/>
    </row>
    <row r="2956" spans="13:17" x14ac:dyDescent="0.25">
      <c r="M2956" s="36"/>
      <c r="Q2956" s="36"/>
    </row>
    <row r="2957" spans="13:17" x14ac:dyDescent="0.25">
      <c r="M2957" s="36"/>
      <c r="Q2957" s="36"/>
    </row>
    <row r="2958" spans="13:17" x14ac:dyDescent="0.25">
      <c r="M2958" s="36"/>
      <c r="Q2958" s="36"/>
    </row>
    <row r="2959" spans="13:17" x14ac:dyDescent="0.25">
      <c r="M2959" s="36"/>
      <c r="Q2959" s="36"/>
    </row>
    <row r="2960" spans="13:17" x14ac:dyDescent="0.25">
      <c r="M2960" s="36"/>
      <c r="Q2960" s="36"/>
    </row>
    <row r="2961" spans="13:17" x14ac:dyDescent="0.25">
      <c r="M2961" s="36"/>
      <c r="Q2961" s="36"/>
    </row>
    <row r="2962" spans="13:17" x14ac:dyDescent="0.25">
      <c r="M2962" s="36"/>
      <c r="Q2962" s="36"/>
    </row>
    <row r="2963" spans="13:17" x14ac:dyDescent="0.25">
      <c r="M2963" s="36"/>
      <c r="Q2963" s="36"/>
    </row>
    <row r="2964" spans="13:17" x14ac:dyDescent="0.25">
      <c r="M2964" s="36"/>
      <c r="Q2964" s="36"/>
    </row>
    <row r="2965" spans="13:17" x14ac:dyDescent="0.25">
      <c r="M2965" s="36"/>
      <c r="Q2965" s="36"/>
    </row>
    <row r="2966" spans="13:17" x14ac:dyDescent="0.25">
      <c r="M2966" s="36"/>
      <c r="Q2966" s="36"/>
    </row>
    <row r="2967" spans="13:17" x14ac:dyDescent="0.25">
      <c r="M2967" s="36"/>
      <c r="Q2967" s="36"/>
    </row>
    <row r="2968" spans="13:17" x14ac:dyDescent="0.25">
      <c r="M2968" s="36"/>
      <c r="Q2968" s="36"/>
    </row>
    <row r="2969" spans="13:17" x14ac:dyDescent="0.25">
      <c r="M2969" s="36"/>
      <c r="Q2969" s="36"/>
    </row>
    <row r="2970" spans="13:17" x14ac:dyDescent="0.25">
      <c r="M2970" s="36"/>
      <c r="Q2970" s="36"/>
    </row>
    <row r="2971" spans="13:17" x14ac:dyDescent="0.25">
      <c r="M2971" s="36"/>
      <c r="Q2971" s="36"/>
    </row>
    <row r="2972" spans="13:17" x14ac:dyDescent="0.25">
      <c r="M2972" s="36"/>
      <c r="Q2972" s="36"/>
    </row>
    <row r="2973" spans="13:17" x14ac:dyDescent="0.25">
      <c r="M2973" s="36"/>
      <c r="Q2973" s="36"/>
    </row>
    <row r="2974" spans="13:17" x14ac:dyDescent="0.25">
      <c r="M2974" s="36"/>
      <c r="Q2974" s="36"/>
    </row>
    <row r="2975" spans="13:17" x14ac:dyDescent="0.25">
      <c r="M2975" s="36"/>
      <c r="Q2975" s="36"/>
    </row>
    <row r="2976" spans="13:17" x14ac:dyDescent="0.25">
      <c r="M2976" s="36"/>
      <c r="Q2976" s="36"/>
    </row>
    <row r="2977" spans="13:17" x14ac:dyDescent="0.25">
      <c r="M2977" s="36"/>
      <c r="Q2977" s="36"/>
    </row>
    <row r="2978" spans="13:17" x14ac:dyDescent="0.25">
      <c r="M2978" s="36"/>
      <c r="Q2978" s="36"/>
    </row>
    <row r="2979" spans="13:17" x14ac:dyDescent="0.25">
      <c r="M2979" s="36"/>
      <c r="Q2979" s="36"/>
    </row>
    <row r="2980" spans="13:17" x14ac:dyDescent="0.25">
      <c r="M2980" s="36"/>
      <c r="Q2980" s="36"/>
    </row>
    <row r="2981" spans="13:17" x14ac:dyDescent="0.25">
      <c r="M2981" s="36"/>
      <c r="Q2981" s="36"/>
    </row>
    <row r="2982" spans="13:17" x14ac:dyDescent="0.25">
      <c r="M2982" s="36"/>
      <c r="Q2982" s="36"/>
    </row>
    <row r="2983" spans="13:17" x14ac:dyDescent="0.25">
      <c r="M2983" s="36"/>
      <c r="Q2983" s="36"/>
    </row>
    <row r="2984" spans="13:17" x14ac:dyDescent="0.25">
      <c r="M2984" s="36"/>
      <c r="Q2984" s="36"/>
    </row>
    <row r="2985" spans="13:17" x14ac:dyDescent="0.25">
      <c r="M2985" s="36"/>
      <c r="Q2985" s="36"/>
    </row>
    <row r="2986" spans="13:17" x14ac:dyDescent="0.25">
      <c r="M2986" s="36"/>
      <c r="Q2986" s="36"/>
    </row>
    <row r="2987" spans="13:17" x14ac:dyDescent="0.25">
      <c r="M2987" s="36"/>
      <c r="Q2987" s="36"/>
    </row>
    <row r="2988" spans="13:17" x14ac:dyDescent="0.25">
      <c r="M2988" s="36"/>
      <c r="Q2988" s="36"/>
    </row>
    <row r="2989" spans="13:17" x14ac:dyDescent="0.25">
      <c r="M2989" s="36"/>
      <c r="Q2989" s="36"/>
    </row>
    <row r="2990" spans="13:17" x14ac:dyDescent="0.25">
      <c r="M2990" s="36"/>
      <c r="Q2990" s="36"/>
    </row>
    <row r="2991" spans="13:17" x14ac:dyDescent="0.25">
      <c r="M2991" s="36"/>
      <c r="Q2991" s="36"/>
    </row>
    <row r="2992" spans="13:17" x14ac:dyDescent="0.25">
      <c r="M2992" s="36"/>
      <c r="Q2992" s="36"/>
    </row>
    <row r="2993" spans="13:17" x14ac:dyDescent="0.25">
      <c r="M2993" s="36"/>
      <c r="Q2993" s="36"/>
    </row>
    <row r="2994" spans="13:17" x14ac:dyDescent="0.25">
      <c r="M2994" s="36"/>
      <c r="Q2994" s="36"/>
    </row>
    <row r="2995" spans="13:17" x14ac:dyDescent="0.25">
      <c r="M2995" s="36"/>
      <c r="Q2995" s="36"/>
    </row>
    <row r="2996" spans="13:17" x14ac:dyDescent="0.25">
      <c r="M2996" s="36"/>
      <c r="Q2996" s="36"/>
    </row>
    <row r="2997" spans="13:17" x14ac:dyDescent="0.25">
      <c r="M2997" s="36"/>
      <c r="Q2997" s="36"/>
    </row>
    <row r="2998" spans="13:17" x14ac:dyDescent="0.25">
      <c r="M2998" s="36"/>
      <c r="Q2998" s="36"/>
    </row>
    <row r="2999" spans="13:17" x14ac:dyDescent="0.25">
      <c r="M2999" s="36"/>
      <c r="Q2999" s="36"/>
    </row>
    <row r="3000" spans="13:17" x14ac:dyDescent="0.25">
      <c r="M3000" s="36"/>
      <c r="Q3000" s="36"/>
    </row>
    <row r="3001" spans="13:17" x14ac:dyDescent="0.25">
      <c r="M3001" s="36"/>
      <c r="Q3001" s="36"/>
    </row>
    <row r="3002" spans="13:17" x14ac:dyDescent="0.25">
      <c r="M3002" s="36"/>
      <c r="Q3002" s="36"/>
    </row>
    <row r="3003" spans="13:17" x14ac:dyDescent="0.25">
      <c r="M3003" s="36"/>
      <c r="Q3003" s="36"/>
    </row>
    <row r="3004" spans="13:17" x14ac:dyDescent="0.25">
      <c r="M3004" s="36"/>
      <c r="Q3004" s="36"/>
    </row>
    <row r="3005" spans="13:17" x14ac:dyDescent="0.25">
      <c r="M3005" s="36"/>
      <c r="Q3005" s="36"/>
    </row>
    <row r="3006" spans="13:17" x14ac:dyDescent="0.25">
      <c r="M3006" s="36"/>
      <c r="Q3006" s="36"/>
    </row>
    <row r="3007" spans="13:17" x14ac:dyDescent="0.25">
      <c r="M3007" s="36"/>
      <c r="Q3007" s="36"/>
    </row>
    <row r="3008" spans="13:17" x14ac:dyDescent="0.25">
      <c r="M3008" s="36"/>
      <c r="Q3008" s="36"/>
    </row>
    <row r="3009" spans="13:17" x14ac:dyDescent="0.25">
      <c r="M3009" s="36"/>
      <c r="Q3009" s="36"/>
    </row>
    <row r="3010" spans="13:17" x14ac:dyDescent="0.25">
      <c r="M3010" s="36"/>
      <c r="Q3010" s="36"/>
    </row>
    <row r="3011" spans="13:17" x14ac:dyDescent="0.25">
      <c r="M3011" s="36"/>
      <c r="Q3011" s="36"/>
    </row>
    <row r="3012" spans="13:17" x14ac:dyDescent="0.25">
      <c r="M3012" s="36"/>
      <c r="Q3012" s="36"/>
    </row>
    <row r="3013" spans="13:17" x14ac:dyDescent="0.25">
      <c r="M3013" s="36"/>
      <c r="Q3013" s="36"/>
    </row>
    <row r="3014" spans="13:17" x14ac:dyDescent="0.25">
      <c r="M3014" s="36"/>
      <c r="Q3014" s="36"/>
    </row>
    <row r="3015" spans="13:17" x14ac:dyDescent="0.25">
      <c r="M3015" s="36"/>
      <c r="Q3015" s="36"/>
    </row>
    <row r="3016" spans="13:17" x14ac:dyDescent="0.25">
      <c r="M3016" s="36"/>
      <c r="Q3016" s="36"/>
    </row>
    <row r="3017" spans="13:17" x14ac:dyDescent="0.25">
      <c r="M3017" s="36"/>
      <c r="Q3017" s="36"/>
    </row>
    <row r="3018" spans="13:17" x14ac:dyDescent="0.25">
      <c r="M3018" s="36"/>
      <c r="Q3018" s="36"/>
    </row>
    <row r="3019" spans="13:17" x14ac:dyDescent="0.25">
      <c r="M3019" s="36"/>
      <c r="Q3019" s="36"/>
    </row>
    <row r="3020" spans="13:17" x14ac:dyDescent="0.25">
      <c r="M3020" s="36"/>
      <c r="Q3020" s="36"/>
    </row>
    <row r="3021" spans="13:17" x14ac:dyDescent="0.25">
      <c r="M3021" s="36"/>
      <c r="Q3021" s="36"/>
    </row>
    <row r="3022" spans="13:17" x14ac:dyDescent="0.25">
      <c r="M3022" s="36"/>
      <c r="Q3022" s="36"/>
    </row>
    <row r="3023" spans="13:17" x14ac:dyDescent="0.25">
      <c r="M3023" s="36"/>
      <c r="Q3023" s="36"/>
    </row>
    <row r="3024" spans="13:17" x14ac:dyDescent="0.25">
      <c r="M3024" s="36"/>
      <c r="Q3024" s="36"/>
    </row>
    <row r="3025" spans="13:17" x14ac:dyDescent="0.25">
      <c r="M3025" s="36"/>
      <c r="Q3025" s="36"/>
    </row>
    <row r="3026" spans="13:17" x14ac:dyDescent="0.25">
      <c r="M3026" s="36"/>
      <c r="Q3026" s="36"/>
    </row>
    <row r="3027" spans="13:17" x14ac:dyDescent="0.25">
      <c r="M3027" s="36"/>
      <c r="Q3027" s="36"/>
    </row>
    <row r="3028" spans="13:17" x14ac:dyDescent="0.25">
      <c r="M3028" s="36"/>
      <c r="Q3028" s="36"/>
    </row>
    <row r="3029" spans="13:17" x14ac:dyDescent="0.25">
      <c r="M3029" s="36"/>
      <c r="Q3029" s="36"/>
    </row>
    <row r="3030" spans="13:17" x14ac:dyDescent="0.25">
      <c r="M3030" s="36"/>
      <c r="Q3030" s="36"/>
    </row>
    <row r="3031" spans="13:17" x14ac:dyDescent="0.25">
      <c r="M3031" s="36"/>
      <c r="Q3031" s="36"/>
    </row>
    <row r="3032" spans="13:17" x14ac:dyDescent="0.25">
      <c r="M3032" s="36"/>
      <c r="Q3032" s="36"/>
    </row>
    <row r="3033" spans="13:17" x14ac:dyDescent="0.25">
      <c r="M3033" s="36"/>
      <c r="Q3033" s="36"/>
    </row>
    <row r="3034" spans="13:17" x14ac:dyDescent="0.25">
      <c r="M3034" s="36"/>
      <c r="Q3034" s="36"/>
    </row>
    <row r="3035" spans="13:17" x14ac:dyDescent="0.25">
      <c r="M3035" s="36"/>
      <c r="Q3035" s="36"/>
    </row>
    <row r="3036" spans="13:17" x14ac:dyDescent="0.25">
      <c r="M3036" s="36"/>
      <c r="Q3036" s="36"/>
    </row>
    <row r="3037" spans="13:17" x14ac:dyDescent="0.25">
      <c r="M3037" s="36"/>
      <c r="Q3037" s="36"/>
    </row>
    <row r="3038" spans="13:17" x14ac:dyDescent="0.25">
      <c r="M3038" s="36"/>
      <c r="Q3038" s="36"/>
    </row>
    <row r="3039" spans="13:17" x14ac:dyDescent="0.25">
      <c r="M3039" s="36"/>
      <c r="Q3039" s="36"/>
    </row>
    <row r="3040" spans="13:17" x14ac:dyDescent="0.25">
      <c r="M3040" s="36"/>
      <c r="Q3040" s="36"/>
    </row>
    <row r="3041" spans="13:17" x14ac:dyDescent="0.25">
      <c r="M3041" s="36"/>
      <c r="Q3041" s="36"/>
    </row>
    <row r="3042" spans="13:17" x14ac:dyDescent="0.25">
      <c r="M3042" s="36"/>
      <c r="Q3042" s="36"/>
    </row>
    <row r="3043" spans="13:17" x14ac:dyDescent="0.25">
      <c r="M3043" s="36"/>
      <c r="Q3043" s="36"/>
    </row>
    <row r="3044" spans="13:17" x14ac:dyDescent="0.25">
      <c r="M3044" s="36"/>
      <c r="Q3044" s="36"/>
    </row>
    <row r="3045" spans="13:17" x14ac:dyDescent="0.25">
      <c r="M3045" s="36"/>
      <c r="Q3045" s="36"/>
    </row>
    <row r="3046" spans="13:17" x14ac:dyDescent="0.25">
      <c r="M3046" s="36"/>
      <c r="Q3046" s="36"/>
    </row>
    <row r="3047" spans="13:17" x14ac:dyDescent="0.25">
      <c r="M3047" s="36"/>
      <c r="Q3047" s="36"/>
    </row>
    <row r="3048" spans="13:17" x14ac:dyDescent="0.25">
      <c r="M3048" s="36"/>
      <c r="Q3048" s="36"/>
    </row>
    <row r="3049" spans="13:17" x14ac:dyDescent="0.25">
      <c r="M3049" s="36"/>
      <c r="Q3049" s="36"/>
    </row>
    <row r="3050" spans="13:17" x14ac:dyDescent="0.25">
      <c r="M3050" s="36"/>
      <c r="Q3050" s="36"/>
    </row>
    <row r="3051" spans="13:17" x14ac:dyDescent="0.25">
      <c r="M3051" s="36"/>
      <c r="Q3051" s="36"/>
    </row>
    <row r="3052" spans="13:17" x14ac:dyDescent="0.25">
      <c r="M3052" s="36"/>
      <c r="Q3052" s="36"/>
    </row>
    <row r="3053" spans="13:17" x14ac:dyDescent="0.25">
      <c r="M3053" s="36"/>
      <c r="Q3053" s="36"/>
    </row>
    <row r="3054" spans="13:17" x14ac:dyDescent="0.25">
      <c r="M3054" s="36"/>
      <c r="Q3054" s="36"/>
    </row>
    <row r="3055" spans="13:17" x14ac:dyDescent="0.25">
      <c r="M3055" s="36"/>
      <c r="Q3055" s="36"/>
    </row>
    <row r="3056" spans="13:17" x14ac:dyDescent="0.25">
      <c r="M3056" s="36"/>
      <c r="Q3056" s="36"/>
    </row>
    <row r="3057" spans="13:17" x14ac:dyDescent="0.25">
      <c r="M3057" s="36"/>
      <c r="Q3057" s="36"/>
    </row>
    <row r="3058" spans="13:17" x14ac:dyDescent="0.25">
      <c r="M3058" s="36"/>
      <c r="Q3058" s="36"/>
    </row>
    <row r="3059" spans="13:17" x14ac:dyDescent="0.25">
      <c r="M3059" s="36"/>
      <c r="Q3059" s="36"/>
    </row>
    <row r="3060" spans="13:17" x14ac:dyDescent="0.25">
      <c r="M3060" s="36"/>
      <c r="Q3060" s="36"/>
    </row>
    <row r="3061" spans="13:17" x14ac:dyDescent="0.25">
      <c r="M3061" s="36"/>
      <c r="Q3061" s="36"/>
    </row>
    <row r="3062" spans="13:17" x14ac:dyDescent="0.25">
      <c r="M3062" s="36"/>
      <c r="Q3062" s="36"/>
    </row>
    <row r="3063" spans="13:17" x14ac:dyDescent="0.25">
      <c r="M3063" s="36"/>
      <c r="Q3063" s="36"/>
    </row>
    <row r="3064" spans="13:17" x14ac:dyDescent="0.25">
      <c r="M3064" s="36"/>
      <c r="Q3064" s="36"/>
    </row>
    <row r="3065" spans="13:17" x14ac:dyDescent="0.25">
      <c r="M3065" s="36"/>
      <c r="Q3065" s="36"/>
    </row>
    <row r="3066" spans="13:17" x14ac:dyDescent="0.25">
      <c r="M3066" s="36"/>
      <c r="Q3066" s="36"/>
    </row>
    <row r="3067" spans="13:17" x14ac:dyDescent="0.25">
      <c r="M3067" s="36"/>
      <c r="Q3067" s="36"/>
    </row>
    <row r="3068" spans="13:17" x14ac:dyDescent="0.25">
      <c r="M3068" s="36"/>
      <c r="Q3068" s="36"/>
    </row>
    <row r="3069" spans="13:17" x14ac:dyDescent="0.25">
      <c r="M3069" s="36"/>
      <c r="Q3069" s="36"/>
    </row>
    <row r="3070" spans="13:17" x14ac:dyDescent="0.25">
      <c r="M3070" s="36"/>
      <c r="Q3070" s="36"/>
    </row>
    <row r="3071" spans="13:17" x14ac:dyDescent="0.25">
      <c r="M3071" s="36"/>
      <c r="Q3071" s="36"/>
    </row>
    <row r="3072" spans="13:17" x14ac:dyDescent="0.25">
      <c r="M3072" s="36"/>
      <c r="Q3072" s="36"/>
    </row>
    <row r="3073" spans="13:17" x14ac:dyDescent="0.25">
      <c r="M3073" s="36"/>
      <c r="Q3073" s="36"/>
    </row>
    <row r="3074" spans="13:17" x14ac:dyDescent="0.25">
      <c r="M3074" s="36"/>
      <c r="Q3074" s="36"/>
    </row>
    <row r="3075" spans="13:17" x14ac:dyDescent="0.25">
      <c r="M3075" s="36"/>
      <c r="Q3075" s="36"/>
    </row>
    <row r="3076" spans="13:17" x14ac:dyDescent="0.25">
      <c r="M3076" s="36"/>
      <c r="Q3076" s="36"/>
    </row>
    <row r="3077" spans="13:17" x14ac:dyDescent="0.25">
      <c r="M3077" s="36"/>
      <c r="Q3077" s="36"/>
    </row>
    <row r="3078" spans="13:17" x14ac:dyDescent="0.25">
      <c r="M3078" s="36"/>
      <c r="Q3078" s="36"/>
    </row>
    <row r="3079" spans="13:17" x14ac:dyDescent="0.25">
      <c r="M3079" s="36"/>
      <c r="Q3079" s="36"/>
    </row>
    <row r="3080" spans="13:17" x14ac:dyDescent="0.25">
      <c r="M3080" s="36"/>
      <c r="Q3080" s="36"/>
    </row>
    <row r="3081" spans="13:17" x14ac:dyDescent="0.25">
      <c r="M3081" s="36"/>
      <c r="Q3081" s="36"/>
    </row>
    <row r="3082" spans="13:17" x14ac:dyDescent="0.25">
      <c r="M3082" s="36"/>
      <c r="Q3082" s="36"/>
    </row>
    <row r="3083" spans="13:17" x14ac:dyDescent="0.25">
      <c r="M3083" s="36"/>
      <c r="Q3083" s="36"/>
    </row>
    <row r="3084" spans="13:17" x14ac:dyDescent="0.25">
      <c r="M3084" s="36"/>
      <c r="Q3084" s="36"/>
    </row>
    <row r="3085" spans="13:17" x14ac:dyDescent="0.25">
      <c r="M3085" s="36"/>
      <c r="Q3085" s="36"/>
    </row>
    <row r="3086" spans="13:17" x14ac:dyDescent="0.25">
      <c r="M3086" s="36"/>
      <c r="Q3086" s="36"/>
    </row>
    <row r="3087" spans="13:17" x14ac:dyDescent="0.25">
      <c r="M3087" s="36"/>
      <c r="Q3087" s="36"/>
    </row>
    <row r="3088" spans="13:17" x14ac:dyDescent="0.25">
      <c r="M3088" s="36"/>
      <c r="Q3088" s="36"/>
    </row>
    <row r="3089" spans="13:17" x14ac:dyDescent="0.25">
      <c r="M3089" s="36"/>
      <c r="Q3089" s="36"/>
    </row>
    <row r="3090" spans="13:17" x14ac:dyDescent="0.25">
      <c r="M3090" s="36"/>
      <c r="Q3090" s="36"/>
    </row>
    <row r="3091" spans="13:17" x14ac:dyDescent="0.25">
      <c r="M3091" s="36"/>
      <c r="Q3091" s="36"/>
    </row>
    <row r="3092" spans="13:17" x14ac:dyDescent="0.25">
      <c r="M3092" s="36"/>
      <c r="Q3092" s="36"/>
    </row>
    <row r="3093" spans="13:17" x14ac:dyDescent="0.25">
      <c r="M3093" s="36"/>
      <c r="Q3093" s="36"/>
    </row>
    <row r="3094" spans="13:17" x14ac:dyDescent="0.25">
      <c r="M3094" s="36"/>
      <c r="Q3094" s="36"/>
    </row>
    <row r="3095" spans="13:17" x14ac:dyDescent="0.25">
      <c r="M3095" s="36"/>
      <c r="Q3095" s="36"/>
    </row>
    <row r="3096" spans="13:17" x14ac:dyDescent="0.25">
      <c r="M3096" s="36"/>
      <c r="Q3096" s="36"/>
    </row>
    <row r="3097" spans="13:17" x14ac:dyDescent="0.25">
      <c r="M3097" s="36"/>
      <c r="Q3097" s="36"/>
    </row>
    <row r="3098" spans="13:17" x14ac:dyDescent="0.25">
      <c r="M3098" s="36"/>
      <c r="Q3098" s="36"/>
    </row>
    <row r="3099" spans="13:17" x14ac:dyDescent="0.25">
      <c r="M3099" s="36"/>
      <c r="Q3099" s="36"/>
    </row>
    <row r="3100" spans="13:17" x14ac:dyDescent="0.25">
      <c r="M3100" s="36"/>
      <c r="Q3100" s="36"/>
    </row>
    <row r="3101" spans="13:17" x14ac:dyDescent="0.25">
      <c r="M3101" s="36"/>
      <c r="Q3101" s="36"/>
    </row>
    <row r="3102" spans="13:17" x14ac:dyDescent="0.25">
      <c r="M3102" s="36"/>
      <c r="Q3102" s="36"/>
    </row>
    <row r="3103" spans="13:17" x14ac:dyDescent="0.25">
      <c r="M3103" s="36"/>
      <c r="Q3103" s="36"/>
    </row>
    <row r="3104" spans="13:17" x14ac:dyDescent="0.25">
      <c r="M3104" s="36"/>
      <c r="Q3104" s="36"/>
    </row>
    <row r="3105" spans="13:17" x14ac:dyDescent="0.25">
      <c r="M3105" s="36"/>
      <c r="Q3105" s="36"/>
    </row>
    <row r="3106" spans="13:17" x14ac:dyDescent="0.25">
      <c r="M3106" s="36"/>
      <c r="Q3106" s="36"/>
    </row>
    <row r="3107" spans="13:17" x14ac:dyDescent="0.25">
      <c r="M3107" s="36"/>
      <c r="Q3107" s="36"/>
    </row>
    <row r="3108" spans="13:17" x14ac:dyDescent="0.25">
      <c r="M3108" s="36"/>
      <c r="Q3108" s="36"/>
    </row>
    <row r="3109" spans="13:17" x14ac:dyDescent="0.25">
      <c r="M3109" s="36"/>
      <c r="Q3109" s="36"/>
    </row>
    <row r="3110" spans="13:17" x14ac:dyDescent="0.25">
      <c r="M3110" s="36"/>
      <c r="Q3110" s="36"/>
    </row>
    <row r="3111" spans="13:17" x14ac:dyDescent="0.25">
      <c r="M3111" s="36"/>
      <c r="Q3111" s="36"/>
    </row>
    <row r="3112" spans="13:17" x14ac:dyDescent="0.25">
      <c r="M3112" s="36"/>
      <c r="Q3112" s="36"/>
    </row>
    <row r="3113" spans="13:17" x14ac:dyDescent="0.25">
      <c r="M3113" s="36"/>
      <c r="Q3113" s="36"/>
    </row>
    <row r="3114" spans="13:17" x14ac:dyDescent="0.25">
      <c r="M3114" s="36"/>
      <c r="Q3114" s="36"/>
    </row>
    <row r="3115" spans="13:17" x14ac:dyDescent="0.25">
      <c r="M3115" s="36"/>
      <c r="Q3115" s="36"/>
    </row>
    <row r="3116" spans="13:17" x14ac:dyDescent="0.25">
      <c r="M3116" s="36"/>
      <c r="Q3116" s="36"/>
    </row>
    <row r="3117" spans="13:17" x14ac:dyDescent="0.25">
      <c r="M3117" s="36"/>
      <c r="Q3117" s="36"/>
    </row>
    <row r="3118" spans="13:17" x14ac:dyDescent="0.25">
      <c r="M3118" s="36"/>
      <c r="Q3118" s="36"/>
    </row>
    <row r="3119" spans="13:17" x14ac:dyDescent="0.25">
      <c r="M3119" s="36"/>
      <c r="Q3119" s="36"/>
    </row>
    <row r="3120" spans="13:17" x14ac:dyDescent="0.25">
      <c r="M3120" s="36"/>
      <c r="Q3120" s="36"/>
    </row>
    <row r="3121" spans="13:17" x14ac:dyDescent="0.25">
      <c r="M3121" s="36"/>
      <c r="Q3121" s="36"/>
    </row>
    <row r="3122" spans="13:17" x14ac:dyDescent="0.25">
      <c r="M3122" s="36"/>
      <c r="Q3122" s="36"/>
    </row>
    <row r="3123" spans="13:17" x14ac:dyDescent="0.25">
      <c r="M3123" s="36"/>
      <c r="Q3123" s="36"/>
    </row>
    <row r="3124" spans="13:17" x14ac:dyDescent="0.25">
      <c r="M3124" s="36"/>
      <c r="Q3124" s="36"/>
    </row>
    <row r="3125" spans="13:17" x14ac:dyDescent="0.25">
      <c r="M3125" s="36"/>
      <c r="Q3125" s="36"/>
    </row>
    <row r="3126" spans="13:17" x14ac:dyDescent="0.25">
      <c r="M3126" s="36"/>
      <c r="Q3126" s="36"/>
    </row>
    <row r="3127" spans="13:17" x14ac:dyDescent="0.25">
      <c r="M3127" s="36"/>
      <c r="Q3127" s="36"/>
    </row>
    <row r="3128" spans="13:17" x14ac:dyDescent="0.25">
      <c r="M3128" s="36"/>
      <c r="Q3128" s="36"/>
    </row>
    <row r="3129" spans="13:17" x14ac:dyDescent="0.25">
      <c r="M3129" s="36"/>
      <c r="Q3129" s="36"/>
    </row>
    <row r="3130" spans="13:17" x14ac:dyDescent="0.25">
      <c r="M3130" s="36"/>
      <c r="Q3130" s="36"/>
    </row>
    <row r="3131" spans="13:17" x14ac:dyDescent="0.25">
      <c r="M3131" s="36"/>
      <c r="Q3131" s="36"/>
    </row>
    <row r="3132" spans="13:17" x14ac:dyDescent="0.25">
      <c r="M3132" s="36"/>
      <c r="Q3132" s="36"/>
    </row>
    <row r="3133" spans="13:17" x14ac:dyDescent="0.25">
      <c r="M3133" s="36"/>
      <c r="Q3133" s="36"/>
    </row>
    <row r="3134" spans="13:17" x14ac:dyDescent="0.25">
      <c r="M3134" s="36"/>
      <c r="Q3134" s="36"/>
    </row>
    <row r="3135" spans="13:17" x14ac:dyDescent="0.25">
      <c r="M3135" s="36"/>
      <c r="Q3135" s="36"/>
    </row>
    <row r="3136" spans="13:17" x14ac:dyDescent="0.25">
      <c r="M3136" s="36"/>
      <c r="Q3136" s="36"/>
    </row>
    <row r="3137" spans="13:17" x14ac:dyDescent="0.25">
      <c r="M3137" s="36"/>
      <c r="Q3137" s="36"/>
    </row>
    <row r="3138" spans="13:17" x14ac:dyDescent="0.25">
      <c r="M3138" s="36"/>
      <c r="Q3138" s="36"/>
    </row>
    <row r="3139" spans="13:17" x14ac:dyDescent="0.25">
      <c r="M3139" s="36"/>
      <c r="Q3139" s="36"/>
    </row>
    <row r="3140" spans="13:17" x14ac:dyDescent="0.25">
      <c r="M3140" s="36"/>
      <c r="Q3140" s="36"/>
    </row>
    <row r="3141" spans="13:17" x14ac:dyDescent="0.25">
      <c r="M3141" s="36"/>
      <c r="Q3141" s="36"/>
    </row>
    <row r="3142" spans="13:17" x14ac:dyDescent="0.25">
      <c r="M3142" s="36"/>
      <c r="Q3142" s="36"/>
    </row>
    <row r="3143" spans="13:17" x14ac:dyDescent="0.25">
      <c r="M3143" s="36"/>
      <c r="Q3143" s="36"/>
    </row>
    <row r="3144" spans="13:17" x14ac:dyDescent="0.25">
      <c r="M3144" s="36"/>
      <c r="Q3144" s="36"/>
    </row>
    <row r="3145" spans="13:17" x14ac:dyDescent="0.25">
      <c r="M3145" s="36"/>
      <c r="Q3145" s="36"/>
    </row>
    <row r="3146" spans="13:17" x14ac:dyDescent="0.25">
      <c r="M3146" s="36"/>
      <c r="Q3146" s="36"/>
    </row>
    <row r="3147" spans="13:17" x14ac:dyDescent="0.25">
      <c r="M3147" s="36"/>
      <c r="Q3147" s="36"/>
    </row>
    <row r="3148" spans="13:17" x14ac:dyDescent="0.25">
      <c r="M3148" s="36"/>
      <c r="Q3148" s="36"/>
    </row>
    <row r="3149" spans="13:17" x14ac:dyDescent="0.25">
      <c r="M3149" s="36"/>
      <c r="Q3149" s="36"/>
    </row>
    <row r="3150" spans="13:17" x14ac:dyDescent="0.25">
      <c r="M3150" s="36"/>
      <c r="Q3150" s="36"/>
    </row>
    <row r="3151" spans="13:17" x14ac:dyDescent="0.25">
      <c r="M3151" s="36"/>
      <c r="Q3151" s="36"/>
    </row>
    <row r="3152" spans="13:17" x14ac:dyDescent="0.25">
      <c r="M3152" s="36"/>
      <c r="Q3152" s="36"/>
    </row>
    <row r="3153" spans="13:17" x14ac:dyDescent="0.25">
      <c r="M3153" s="36"/>
      <c r="Q3153" s="36"/>
    </row>
    <row r="3154" spans="13:17" x14ac:dyDescent="0.25">
      <c r="M3154" s="36"/>
      <c r="Q3154" s="36"/>
    </row>
    <row r="3155" spans="13:17" x14ac:dyDescent="0.25">
      <c r="M3155" s="36"/>
      <c r="Q3155" s="36"/>
    </row>
    <row r="3156" spans="13:17" x14ac:dyDescent="0.25">
      <c r="M3156" s="36"/>
      <c r="Q3156" s="36"/>
    </row>
    <row r="3157" spans="13:17" x14ac:dyDescent="0.25">
      <c r="M3157" s="36"/>
      <c r="Q3157" s="36"/>
    </row>
    <row r="3158" spans="13:17" x14ac:dyDescent="0.25">
      <c r="M3158" s="36"/>
      <c r="Q3158" s="36"/>
    </row>
    <row r="3159" spans="13:17" x14ac:dyDescent="0.25">
      <c r="M3159" s="36"/>
      <c r="Q3159" s="36"/>
    </row>
    <row r="3160" spans="13:17" x14ac:dyDescent="0.25">
      <c r="M3160" s="36"/>
      <c r="Q3160" s="36"/>
    </row>
    <row r="3161" spans="13:17" x14ac:dyDescent="0.25">
      <c r="M3161" s="36"/>
      <c r="Q3161" s="36"/>
    </row>
    <row r="3162" spans="13:17" x14ac:dyDescent="0.25">
      <c r="M3162" s="36"/>
      <c r="Q3162" s="36"/>
    </row>
    <row r="3163" spans="13:17" x14ac:dyDescent="0.25">
      <c r="M3163" s="36"/>
      <c r="Q3163" s="36"/>
    </row>
    <row r="3164" spans="13:17" x14ac:dyDescent="0.25">
      <c r="M3164" s="36"/>
      <c r="Q3164" s="36"/>
    </row>
    <row r="3165" spans="13:17" x14ac:dyDescent="0.25">
      <c r="M3165" s="36"/>
      <c r="Q3165" s="36"/>
    </row>
    <row r="3166" spans="13:17" x14ac:dyDescent="0.25">
      <c r="M3166" s="36"/>
      <c r="Q3166" s="36"/>
    </row>
    <row r="3167" spans="13:17" x14ac:dyDescent="0.25">
      <c r="M3167" s="36"/>
      <c r="Q3167" s="36"/>
    </row>
    <row r="3168" spans="13:17" x14ac:dyDescent="0.25">
      <c r="M3168" s="36"/>
      <c r="Q3168" s="36"/>
    </row>
    <row r="3169" spans="13:17" x14ac:dyDescent="0.25">
      <c r="M3169" s="36"/>
      <c r="Q3169" s="36"/>
    </row>
    <row r="3170" spans="13:17" x14ac:dyDescent="0.25">
      <c r="M3170" s="36"/>
      <c r="Q3170" s="36"/>
    </row>
    <row r="3171" spans="13:17" x14ac:dyDescent="0.25">
      <c r="M3171" s="36"/>
      <c r="Q3171" s="36"/>
    </row>
    <row r="3172" spans="13:17" x14ac:dyDescent="0.25">
      <c r="M3172" s="36"/>
      <c r="Q3172" s="36"/>
    </row>
    <row r="3173" spans="13:17" x14ac:dyDescent="0.25">
      <c r="M3173" s="36"/>
      <c r="Q3173" s="36"/>
    </row>
    <row r="3174" spans="13:17" x14ac:dyDescent="0.25">
      <c r="M3174" s="36"/>
      <c r="Q3174" s="36"/>
    </row>
    <row r="3175" spans="13:17" x14ac:dyDescent="0.25">
      <c r="M3175" s="36"/>
      <c r="Q3175" s="36"/>
    </row>
    <row r="3176" spans="13:17" x14ac:dyDescent="0.25">
      <c r="M3176" s="36"/>
      <c r="Q3176" s="36"/>
    </row>
    <row r="3177" spans="13:17" x14ac:dyDescent="0.25">
      <c r="M3177" s="36"/>
      <c r="Q3177" s="36"/>
    </row>
    <row r="3178" spans="13:17" x14ac:dyDescent="0.25">
      <c r="M3178" s="36"/>
      <c r="Q3178" s="36"/>
    </row>
    <row r="3179" spans="13:17" x14ac:dyDescent="0.25">
      <c r="M3179" s="36"/>
      <c r="Q3179" s="36"/>
    </row>
    <row r="3180" spans="13:17" x14ac:dyDescent="0.25">
      <c r="M3180" s="36"/>
      <c r="Q3180" s="36"/>
    </row>
    <row r="3181" spans="13:17" x14ac:dyDescent="0.25">
      <c r="M3181" s="36"/>
      <c r="Q3181" s="36"/>
    </row>
    <row r="3182" spans="13:17" x14ac:dyDescent="0.25">
      <c r="M3182" s="36"/>
      <c r="Q3182" s="36"/>
    </row>
    <row r="3183" spans="13:17" x14ac:dyDescent="0.25">
      <c r="M3183" s="36"/>
      <c r="Q3183" s="36"/>
    </row>
    <row r="3184" spans="13:17" x14ac:dyDescent="0.25">
      <c r="M3184" s="36"/>
      <c r="Q3184" s="36"/>
    </row>
    <row r="3185" spans="13:17" x14ac:dyDescent="0.25">
      <c r="M3185" s="36"/>
      <c r="Q3185" s="36"/>
    </row>
    <row r="3186" spans="13:17" x14ac:dyDescent="0.25">
      <c r="M3186" s="36"/>
      <c r="Q3186" s="36"/>
    </row>
    <row r="3187" spans="13:17" x14ac:dyDescent="0.25">
      <c r="M3187" s="36"/>
      <c r="Q3187" s="36"/>
    </row>
    <row r="3188" spans="13:17" x14ac:dyDescent="0.25">
      <c r="M3188" s="36"/>
      <c r="Q3188" s="36"/>
    </row>
    <row r="3189" spans="13:17" x14ac:dyDescent="0.25">
      <c r="M3189" s="36"/>
      <c r="Q3189" s="36"/>
    </row>
    <row r="3190" spans="13:17" x14ac:dyDescent="0.25">
      <c r="M3190" s="36"/>
      <c r="Q3190" s="36"/>
    </row>
    <row r="3191" spans="13:17" x14ac:dyDescent="0.25">
      <c r="M3191" s="36"/>
      <c r="Q3191" s="36"/>
    </row>
    <row r="3192" spans="13:17" x14ac:dyDescent="0.25">
      <c r="M3192" s="36"/>
      <c r="Q3192" s="36"/>
    </row>
    <row r="3193" spans="13:17" x14ac:dyDescent="0.25">
      <c r="M3193" s="36"/>
      <c r="Q3193" s="36"/>
    </row>
    <row r="3194" spans="13:17" x14ac:dyDescent="0.25">
      <c r="M3194" s="36"/>
      <c r="Q3194" s="36"/>
    </row>
    <row r="3195" spans="13:17" x14ac:dyDescent="0.25">
      <c r="M3195" s="36"/>
      <c r="Q3195" s="36"/>
    </row>
    <row r="3196" spans="13:17" x14ac:dyDescent="0.25">
      <c r="M3196" s="36"/>
      <c r="Q3196" s="36"/>
    </row>
    <row r="3197" spans="13:17" x14ac:dyDescent="0.25">
      <c r="M3197" s="36"/>
      <c r="Q3197" s="36"/>
    </row>
    <row r="3198" spans="13:17" x14ac:dyDescent="0.25">
      <c r="M3198" s="36"/>
      <c r="Q3198" s="36"/>
    </row>
    <row r="3199" spans="13:17" x14ac:dyDescent="0.25">
      <c r="M3199" s="36"/>
      <c r="Q3199" s="36"/>
    </row>
    <row r="3200" spans="13:17" x14ac:dyDescent="0.25">
      <c r="M3200" s="36"/>
      <c r="Q3200" s="36"/>
    </row>
    <row r="3201" spans="13:17" x14ac:dyDescent="0.25">
      <c r="M3201" s="36"/>
      <c r="Q3201" s="36"/>
    </row>
    <row r="3202" spans="13:17" x14ac:dyDescent="0.25">
      <c r="M3202" s="36"/>
      <c r="Q3202" s="36"/>
    </row>
    <row r="3203" spans="13:17" x14ac:dyDescent="0.25">
      <c r="M3203" s="36"/>
      <c r="Q3203" s="36"/>
    </row>
    <row r="3204" spans="13:17" x14ac:dyDescent="0.25">
      <c r="M3204" s="36"/>
      <c r="Q3204" s="36"/>
    </row>
    <row r="3205" spans="13:17" x14ac:dyDescent="0.25">
      <c r="M3205" s="36"/>
      <c r="Q3205" s="36"/>
    </row>
    <row r="3206" spans="13:17" x14ac:dyDescent="0.25">
      <c r="M3206" s="36"/>
      <c r="Q3206" s="36"/>
    </row>
    <row r="3207" spans="13:17" x14ac:dyDescent="0.25">
      <c r="M3207" s="36"/>
      <c r="Q3207" s="36"/>
    </row>
    <row r="3208" spans="13:17" x14ac:dyDescent="0.25">
      <c r="M3208" s="36"/>
      <c r="Q3208" s="36"/>
    </row>
    <row r="3209" spans="13:17" x14ac:dyDescent="0.25">
      <c r="M3209" s="36"/>
      <c r="Q3209" s="36"/>
    </row>
    <row r="3210" spans="13:17" x14ac:dyDescent="0.25">
      <c r="M3210" s="36"/>
      <c r="Q3210" s="36"/>
    </row>
    <row r="3211" spans="13:17" x14ac:dyDescent="0.25">
      <c r="M3211" s="36"/>
      <c r="Q3211" s="36"/>
    </row>
    <row r="3212" spans="13:17" x14ac:dyDescent="0.25">
      <c r="M3212" s="36"/>
      <c r="Q3212" s="36"/>
    </row>
    <row r="3213" spans="13:17" x14ac:dyDescent="0.25">
      <c r="M3213" s="36"/>
      <c r="Q3213" s="36"/>
    </row>
    <row r="3214" spans="13:17" x14ac:dyDescent="0.25">
      <c r="M3214" s="36"/>
      <c r="Q3214" s="36"/>
    </row>
    <row r="3215" spans="13:17" x14ac:dyDescent="0.25">
      <c r="M3215" s="36"/>
      <c r="Q3215" s="36"/>
    </row>
    <row r="3216" spans="13:17" x14ac:dyDescent="0.25">
      <c r="M3216" s="36"/>
      <c r="Q3216" s="36"/>
    </row>
    <row r="3217" spans="13:17" x14ac:dyDescent="0.25">
      <c r="M3217" s="36"/>
      <c r="Q3217" s="36"/>
    </row>
    <row r="3218" spans="13:17" x14ac:dyDescent="0.25">
      <c r="M3218" s="36"/>
      <c r="Q3218" s="36"/>
    </row>
    <row r="3219" spans="13:17" x14ac:dyDescent="0.25">
      <c r="M3219" s="36"/>
      <c r="Q3219" s="36"/>
    </row>
    <row r="3220" spans="13:17" x14ac:dyDescent="0.25">
      <c r="M3220" s="36"/>
      <c r="Q3220" s="36"/>
    </row>
    <row r="3221" spans="13:17" x14ac:dyDescent="0.25">
      <c r="M3221" s="36"/>
      <c r="Q3221" s="36"/>
    </row>
    <row r="3222" spans="13:17" x14ac:dyDescent="0.25">
      <c r="M3222" s="36"/>
      <c r="Q3222" s="36"/>
    </row>
    <row r="3223" spans="13:17" x14ac:dyDescent="0.25">
      <c r="M3223" s="36"/>
      <c r="Q3223" s="36"/>
    </row>
    <row r="3224" spans="13:17" x14ac:dyDescent="0.25">
      <c r="M3224" s="36"/>
      <c r="Q3224" s="36"/>
    </row>
    <row r="3225" spans="13:17" x14ac:dyDescent="0.25">
      <c r="M3225" s="36"/>
      <c r="Q3225" s="36"/>
    </row>
    <row r="3226" spans="13:17" x14ac:dyDescent="0.25">
      <c r="M3226" s="36"/>
      <c r="Q3226" s="36"/>
    </row>
    <row r="3227" spans="13:17" x14ac:dyDescent="0.25">
      <c r="M3227" s="36"/>
      <c r="Q3227" s="36"/>
    </row>
    <row r="3228" spans="13:17" x14ac:dyDescent="0.25">
      <c r="M3228" s="36"/>
      <c r="Q3228" s="36"/>
    </row>
    <row r="3229" spans="13:17" x14ac:dyDescent="0.25">
      <c r="M3229" s="36"/>
      <c r="Q3229" s="36"/>
    </row>
    <row r="3230" spans="13:17" x14ac:dyDescent="0.25">
      <c r="M3230" s="36"/>
      <c r="Q3230" s="36"/>
    </row>
    <row r="3231" spans="13:17" x14ac:dyDescent="0.25">
      <c r="M3231" s="36"/>
      <c r="Q3231" s="36"/>
    </row>
    <row r="3232" spans="13:17" x14ac:dyDescent="0.25">
      <c r="M3232" s="36"/>
      <c r="Q3232" s="36"/>
    </row>
    <row r="3233" spans="13:17" x14ac:dyDescent="0.25">
      <c r="M3233" s="36"/>
      <c r="Q3233" s="36"/>
    </row>
    <row r="3234" spans="13:17" x14ac:dyDescent="0.25">
      <c r="M3234" s="36"/>
      <c r="Q3234" s="36"/>
    </row>
    <row r="3235" spans="13:17" x14ac:dyDescent="0.25">
      <c r="M3235" s="36"/>
      <c r="Q3235" s="36"/>
    </row>
    <row r="3236" spans="13:17" x14ac:dyDescent="0.25">
      <c r="M3236" s="36"/>
      <c r="Q3236" s="36"/>
    </row>
    <row r="3237" spans="13:17" x14ac:dyDescent="0.25">
      <c r="M3237" s="36"/>
      <c r="Q3237" s="36"/>
    </row>
    <row r="3238" spans="13:17" x14ac:dyDescent="0.25">
      <c r="M3238" s="36"/>
      <c r="Q3238" s="36"/>
    </row>
    <row r="3239" spans="13:17" x14ac:dyDescent="0.25">
      <c r="M3239" s="36"/>
      <c r="Q3239" s="36"/>
    </row>
    <row r="3240" spans="13:17" x14ac:dyDescent="0.25">
      <c r="M3240" s="36"/>
      <c r="Q3240" s="36"/>
    </row>
    <row r="3241" spans="13:17" x14ac:dyDescent="0.25">
      <c r="M3241" s="36"/>
      <c r="Q3241" s="36"/>
    </row>
    <row r="3242" spans="13:17" x14ac:dyDescent="0.25">
      <c r="M3242" s="36"/>
      <c r="Q3242" s="36"/>
    </row>
    <row r="3243" spans="13:17" x14ac:dyDescent="0.25">
      <c r="M3243" s="36"/>
      <c r="Q3243" s="36"/>
    </row>
    <row r="3244" spans="13:17" x14ac:dyDescent="0.25">
      <c r="M3244" s="36"/>
      <c r="Q3244" s="36"/>
    </row>
    <row r="3245" spans="13:17" x14ac:dyDescent="0.25">
      <c r="M3245" s="36"/>
      <c r="Q3245" s="36"/>
    </row>
    <row r="3246" spans="13:17" x14ac:dyDescent="0.25">
      <c r="M3246" s="36"/>
      <c r="Q3246" s="36"/>
    </row>
    <row r="3247" spans="13:17" x14ac:dyDescent="0.25">
      <c r="M3247" s="36"/>
      <c r="Q3247" s="36"/>
    </row>
    <row r="3248" spans="13:17" x14ac:dyDescent="0.25">
      <c r="M3248" s="36"/>
      <c r="Q3248" s="36"/>
    </row>
    <row r="3249" spans="13:17" x14ac:dyDescent="0.25">
      <c r="M3249" s="36"/>
      <c r="Q3249" s="36"/>
    </row>
    <row r="3250" spans="13:17" x14ac:dyDescent="0.25">
      <c r="M3250" s="36"/>
      <c r="Q3250" s="36"/>
    </row>
    <row r="3251" spans="13:17" x14ac:dyDescent="0.25">
      <c r="M3251" s="36"/>
      <c r="Q3251" s="36"/>
    </row>
    <row r="3252" spans="13:17" x14ac:dyDescent="0.25">
      <c r="M3252" s="36"/>
      <c r="Q3252" s="36"/>
    </row>
    <row r="3253" spans="13:17" x14ac:dyDescent="0.25">
      <c r="M3253" s="36"/>
      <c r="Q3253" s="36"/>
    </row>
    <row r="3254" spans="13:17" x14ac:dyDescent="0.25">
      <c r="M3254" s="36"/>
      <c r="Q3254" s="36"/>
    </row>
    <row r="3255" spans="13:17" x14ac:dyDescent="0.25">
      <c r="M3255" s="36"/>
      <c r="Q3255" s="36"/>
    </row>
    <row r="3256" spans="13:17" x14ac:dyDescent="0.25">
      <c r="M3256" s="36"/>
      <c r="Q3256" s="36"/>
    </row>
    <row r="3257" spans="13:17" x14ac:dyDescent="0.25">
      <c r="M3257" s="36"/>
      <c r="Q3257" s="36"/>
    </row>
    <row r="3258" spans="13:17" x14ac:dyDescent="0.25">
      <c r="M3258" s="36"/>
      <c r="Q3258" s="36"/>
    </row>
    <row r="3259" spans="13:17" x14ac:dyDescent="0.25">
      <c r="M3259" s="36"/>
      <c r="Q3259" s="36"/>
    </row>
    <row r="3260" spans="13:17" x14ac:dyDescent="0.25">
      <c r="M3260" s="36"/>
      <c r="Q3260" s="36"/>
    </row>
    <row r="3261" spans="13:17" x14ac:dyDescent="0.25">
      <c r="M3261" s="36"/>
      <c r="Q3261" s="36"/>
    </row>
    <row r="3262" spans="13:17" x14ac:dyDescent="0.25">
      <c r="M3262" s="36"/>
      <c r="Q3262" s="36"/>
    </row>
    <row r="3263" spans="13:17" x14ac:dyDescent="0.25">
      <c r="M3263" s="36"/>
      <c r="Q3263" s="36"/>
    </row>
    <row r="3264" spans="13:17" x14ac:dyDescent="0.25">
      <c r="M3264" s="36"/>
      <c r="Q3264" s="36"/>
    </row>
    <row r="3265" spans="13:17" x14ac:dyDescent="0.25">
      <c r="M3265" s="36"/>
      <c r="Q3265" s="36"/>
    </row>
    <row r="3266" spans="13:17" x14ac:dyDescent="0.25">
      <c r="M3266" s="36"/>
      <c r="Q3266" s="36"/>
    </row>
    <row r="3267" spans="13:17" x14ac:dyDescent="0.25">
      <c r="M3267" s="36"/>
      <c r="Q3267" s="36"/>
    </row>
    <row r="3268" spans="13:17" x14ac:dyDescent="0.25">
      <c r="M3268" s="36"/>
      <c r="Q3268" s="36"/>
    </row>
    <row r="3269" spans="13:17" x14ac:dyDescent="0.25">
      <c r="M3269" s="36"/>
      <c r="Q3269" s="36"/>
    </row>
    <row r="3270" spans="13:17" x14ac:dyDescent="0.25">
      <c r="M3270" s="36"/>
      <c r="Q3270" s="36"/>
    </row>
    <row r="3271" spans="13:17" x14ac:dyDescent="0.25">
      <c r="M3271" s="36"/>
      <c r="Q3271" s="36"/>
    </row>
    <row r="3272" spans="13:17" x14ac:dyDescent="0.25">
      <c r="M3272" s="36"/>
      <c r="Q3272" s="36"/>
    </row>
    <row r="3273" spans="13:17" x14ac:dyDescent="0.25">
      <c r="M3273" s="36"/>
      <c r="Q3273" s="36"/>
    </row>
    <row r="3274" spans="13:17" x14ac:dyDescent="0.25">
      <c r="M3274" s="36"/>
      <c r="Q3274" s="36"/>
    </row>
    <row r="3275" spans="13:17" x14ac:dyDescent="0.25">
      <c r="M3275" s="36"/>
      <c r="Q3275" s="36"/>
    </row>
    <row r="3276" spans="13:17" x14ac:dyDescent="0.25">
      <c r="M3276" s="36"/>
      <c r="Q3276" s="36"/>
    </row>
    <row r="3277" spans="13:17" x14ac:dyDescent="0.25">
      <c r="M3277" s="36"/>
      <c r="Q3277" s="36"/>
    </row>
    <row r="3278" spans="13:17" x14ac:dyDescent="0.25">
      <c r="M3278" s="36"/>
      <c r="Q3278" s="36"/>
    </row>
    <row r="3279" spans="13:17" x14ac:dyDescent="0.25">
      <c r="M3279" s="36"/>
      <c r="Q3279" s="36"/>
    </row>
    <row r="3280" spans="13:17" x14ac:dyDescent="0.25">
      <c r="M3280" s="36"/>
      <c r="Q3280" s="36"/>
    </row>
    <row r="3281" spans="13:17" x14ac:dyDescent="0.25">
      <c r="M3281" s="36"/>
      <c r="Q3281" s="36"/>
    </row>
    <row r="3282" spans="13:17" x14ac:dyDescent="0.25">
      <c r="M3282" s="36"/>
      <c r="Q3282" s="36"/>
    </row>
    <row r="3283" spans="13:17" x14ac:dyDescent="0.25">
      <c r="M3283" s="36"/>
      <c r="Q3283" s="36"/>
    </row>
    <row r="3284" spans="13:17" x14ac:dyDescent="0.25">
      <c r="M3284" s="36"/>
      <c r="Q3284" s="36"/>
    </row>
    <row r="3285" spans="13:17" x14ac:dyDescent="0.25">
      <c r="M3285" s="36"/>
      <c r="Q3285" s="36"/>
    </row>
    <row r="3286" spans="13:17" x14ac:dyDescent="0.25">
      <c r="M3286" s="36"/>
      <c r="Q3286" s="36"/>
    </row>
    <row r="3287" spans="13:17" x14ac:dyDescent="0.25">
      <c r="M3287" s="36"/>
      <c r="Q3287" s="36"/>
    </row>
    <row r="3288" spans="13:17" x14ac:dyDescent="0.25">
      <c r="M3288" s="36"/>
      <c r="Q3288" s="36"/>
    </row>
    <row r="3289" spans="13:17" x14ac:dyDescent="0.25">
      <c r="M3289" s="36"/>
      <c r="Q3289" s="36"/>
    </row>
    <row r="3290" spans="13:17" x14ac:dyDescent="0.25">
      <c r="M3290" s="36"/>
      <c r="Q3290" s="36"/>
    </row>
    <row r="3291" spans="13:17" x14ac:dyDescent="0.25">
      <c r="M3291" s="36"/>
      <c r="Q3291" s="36"/>
    </row>
    <row r="3292" spans="13:17" x14ac:dyDescent="0.25">
      <c r="M3292" s="36"/>
      <c r="Q3292" s="36"/>
    </row>
    <row r="3293" spans="13:17" x14ac:dyDescent="0.25">
      <c r="M3293" s="36"/>
      <c r="Q3293" s="36"/>
    </row>
    <row r="3294" spans="13:17" x14ac:dyDescent="0.25">
      <c r="M3294" s="36"/>
      <c r="Q3294" s="36"/>
    </row>
    <row r="3295" spans="13:17" x14ac:dyDescent="0.25">
      <c r="M3295" s="36"/>
      <c r="Q3295" s="36"/>
    </row>
    <row r="3296" spans="13:17" x14ac:dyDescent="0.25">
      <c r="M3296" s="36"/>
      <c r="Q3296" s="36"/>
    </row>
    <row r="3297" spans="13:17" x14ac:dyDescent="0.25">
      <c r="M3297" s="36"/>
      <c r="Q3297" s="36"/>
    </row>
    <row r="3298" spans="13:17" x14ac:dyDescent="0.25">
      <c r="M3298" s="36"/>
      <c r="Q3298" s="36"/>
    </row>
    <row r="3299" spans="13:17" x14ac:dyDescent="0.25">
      <c r="M3299" s="36"/>
      <c r="Q3299" s="36"/>
    </row>
    <row r="3300" spans="13:17" x14ac:dyDescent="0.25">
      <c r="M3300" s="36"/>
      <c r="Q3300" s="36"/>
    </row>
    <row r="3301" spans="13:17" x14ac:dyDescent="0.25">
      <c r="M3301" s="36"/>
      <c r="Q3301" s="36"/>
    </row>
    <row r="3302" spans="13:17" x14ac:dyDescent="0.25">
      <c r="M3302" s="36"/>
      <c r="Q3302" s="36"/>
    </row>
    <row r="3303" spans="13:17" x14ac:dyDescent="0.25">
      <c r="M3303" s="36"/>
      <c r="Q3303" s="36"/>
    </row>
    <row r="3304" spans="13:17" x14ac:dyDescent="0.25">
      <c r="M3304" s="36"/>
      <c r="Q3304" s="36"/>
    </row>
    <row r="3305" spans="13:17" x14ac:dyDescent="0.25">
      <c r="M3305" s="36"/>
      <c r="Q3305" s="36"/>
    </row>
    <row r="3306" spans="13:17" x14ac:dyDescent="0.25">
      <c r="M3306" s="36"/>
      <c r="Q3306" s="36"/>
    </row>
    <row r="3307" spans="13:17" x14ac:dyDescent="0.25">
      <c r="M3307" s="36"/>
      <c r="Q3307" s="36"/>
    </row>
    <row r="3308" spans="13:17" x14ac:dyDescent="0.25">
      <c r="M3308" s="36"/>
      <c r="Q3308" s="36"/>
    </row>
    <row r="3309" spans="13:17" x14ac:dyDescent="0.25">
      <c r="M3309" s="36"/>
      <c r="Q3309" s="36"/>
    </row>
    <row r="3310" spans="13:17" x14ac:dyDescent="0.25">
      <c r="M3310" s="36"/>
      <c r="Q3310" s="36"/>
    </row>
    <row r="3311" spans="13:17" x14ac:dyDescent="0.25">
      <c r="M3311" s="36"/>
      <c r="Q3311" s="36"/>
    </row>
    <row r="3312" spans="13:17" x14ac:dyDescent="0.25">
      <c r="M3312" s="36"/>
      <c r="Q3312" s="36"/>
    </row>
    <row r="3313" spans="13:17" x14ac:dyDescent="0.25">
      <c r="M3313" s="36"/>
      <c r="Q3313" s="36"/>
    </row>
    <row r="3314" spans="13:17" x14ac:dyDescent="0.25">
      <c r="M3314" s="36"/>
      <c r="Q3314" s="36"/>
    </row>
    <row r="3315" spans="13:17" x14ac:dyDescent="0.25">
      <c r="M3315" s="36"/>
      <c r="Q3315" s="36"/>
    </row>
    <row r="3316" spans="13:17" x14ac:dyDescent="0.25">
      <c r="M3316" s="36"/>
      <c r="Q3316" s="36"/>
    </row>
    <row r="3317" spans="13:17" x14ac:dyDescent="0.25">
      <c r="M3317" s="36"/>
      <c r="Q3317" s="36"/>
    </row>
    <row r="3318" spans="13:17" x14ac:dyDescent="0.25">
      <c r="M3318" s="36"/>
      <c r="Q3318" s="36"/>
    </row>
    <row r="3319" spans="13:17" x14ac:dyDescent="0.25">
      <c r="M3319" s="36"/>
      <c r="Q3319" s="36"/>
    </row>
    <row r="3320" spans="13:17" x14ac:dyDescent="0.25">
      <c r="M3320" s="36"/>
      <c r="Q3320" s="36"/>
    </row>
    <row r="3321" spans="13:17" x14ac:dyDescent="0.25">
      <c r="M3321" s="36"/>
      <c r="Q3321" s="36"/>
    </row>
    <row r="3322" spans="13:17" x14ac:dyDescent="0.25">
      <c r="M3322" s="36"/>
      <c r="Q3322" s="36"/>
    </row>
    <row r="3323" spans="13:17" x14ac:dyDescent="0.25">
      <c r="M3323" s="36"/>
      <c r="Q3323" s="36"/>
    </row>
    <row r="3324" spans="13:17" x14ac:dyDescent="0.25">
      <c r="M3324" s="36"/>
      <c r="Q3324" s="36"/>
    </row>
    <row r="3325" spans="13:17" x14ac:dyDescent="0.25">
      <c r="M3325" s="36"/>
      <c r="Q3325" s="36"/>
    </row>
    <row r="3326" spans="13:17" x14ac:dyDescent="0.25">
      <c r="M3326" s="36"/>
      <c r="Q3326" s="36"/>
    </row>
    <row r="3327" spans="13:17" x14ac:dyDescent="0.25">
      <c r="M3327" s="36"/>
      <c r="Q3327" s="36"/>
    </row>
    <row r="3328" spans="13:17" x14ac:dyDescent="0.25">
      <c r="M3328" s="36"/>
      <c r="Q3328" s="36"/>
    </row>
    <row r="3329" spans="13:17" x14ac:dyDescent="0.25">
      <c r="M3329" s="36"/>
      <c r="Q3329" s="36"/>
    </row>
    <row r="3330" spans="13:17" x14ac:dyDescent="0.25">
      <c r="M3330" s="36"/>
      <c r="Q3330" s="36"/>
    </row>
    <row r="3331" spans="13:17" x14ac:dyDescent="0.25">
      <c r="M3331" s="36"/>
      <c r="Q3331" s="36"/>
    </row>
    <row r="3332" spans="13:17" x14ac:dyDescent="0.25">
      <c r="M3332" s="36"/>
      <c r="Q3332" s="36"/>
    </row>
    <row r="3333" spans="13:17" x14ac:dyDescent="0.25">
      <c r="M3333" s="36"/>
      <c r="Q3333" s="36"/>
    </row>
    <row r="3334" spans="13:17" x14ac:dyDescent="0.25">
      <c r="M3334" s="36"/>
      <c r="Q3334" s="36"/>
    </row>
    <row r="3335" spans="13:17" x14ac:dyDescent="0.25">
      <c r="M3335" s="36"/>
      <c r="Q3335" s="36"/>
    </row>
    <row r="3336" spans="13:17" x14ac:dyDescent="0.25">
      <c r="Q3336" s="36"/>
    </row>
    <row r="3337" spans="13:17" x14ac:dyDescent="0.25">
      <c r="Q3337" s="36"/>
    </row>
    <row r="3338" spans="13:17" x14ac:dyDescent="0.25">
      <c r="Q3338" s="36"/>
    </row>
    <row r="3339" spans="13:17" x14ac:dyDescent="0.25">
      <c r="Q3339" s="36"/>
    </row>
    <row r="3340" spans="13:17" x14ac:dyDescent="0.25">
      <c r="Q3340" s="36"/>
    </row>
    <row r="3341" spans="13:17" x14ac:dyDescent="0.25">
      <c r="Q3341" s="36"/>
    </row>
    <row r="3342" spans="13:17" x14ac:dyDescent="0.25">
      <c r="Q3342" s="36"/>
    </row>
    <row r="3343" spans="13:17" x14ac:dyDescent="0.25">
      <c r="Q3343" s="36"/>
    </row>
    <row r="3344" spans="13:17" x14ac:dyDescent="0.25">
      <c r="Q3344" s="36"/>
    </row>
    <row r="3345" spans="17:17" x14ac:dyDescent="0.25">
      <c r="Q3345" s="36"/>
    </row>
    <row r="3346" spans="17:17" x14ac:dyDescent="0.25">
      <c r="Q3346" s="36"/>
    </row>
    <row r="3347" spans="17:17" x14ac:dyDescent="0.25">
      <c r="Q3347" s="36"/>
    </row>
    <row r="3348" spans="17:17" x14ac:dyDescent="0.25">
      <c r="Q3348" s="36"/>
    </row>
    <row r="3349" spans="17:17" x14ac:dyDescent="0.25">
      <c r="Q3349" s="36"/>
    </row>
    <row r="3350" spans="17:17" x14ac:dyDescent="0.25">
      <c r="Q3350" s="36"/>
    </row>
    <row r="3351" spans="17:17" x14ac:dyDescent="0.25">
      <c r="Q3351" s="36"/>
    </row>
    <row r="3352" spans="17:17" x14ac:dyDescent="0.25">
      <c r="Q3352" s="36"/>
    </row>
    <row r="3353" spans="17:17" x14ac:dyDescent="0.25">
      <c r="Q3353" s="36"/>
    </row>
    <row r="3354" spans="17:17" x14ac:dyDescent="0.25">
      <c r="Q3354" s="36"/>
    </row>
    <row r="3355" spans="17:17" x14ac:dyDescent="0.25">
      <c r="Q3355" s="36"/>
    </row>
    <row r="3356" spans="17:17" x14ac:dyDescent="0.25">
      <c r="Q3356" s="36"/>
    </row>
    <row r="3357" spans="17:17" x14ac:dyDescent="0.25">
      <c r="Q3357" s="36"/>
    </row>
    <row r="3358" spans="17:17" x14ac:dyDescent="0.25">
      <c r="Q3358" s="36"/>
    </row>
    <row r="3359" spans="17:17" x14ac:dyDescent="0.25">
      <c r="Q3359" s="36"/>
    </row>
    <row r="3360" spans="17:17" x14ac:dyDescent="0.25">
      <c r="Q3360" s="36"/>
    </row>
    <row r="3361" spans="17:17" x14ac:dyDescent="0.25">
      <c r="Q3361" s="36"/>
    </row>
    <row r="3362" spans="17:17" x14ac:dyDescent="0.25">
      <c r="Q3362" s="36"/>
    </row>
    <row r="3363" spans="17:17" x14ac:dyDescent="0.25">
      <c r="Q3363" s="36"/>
    </row>
    <row r="3364" spans="17:17" x14ac:dyDescent="0.25">
      <c r="Q3364" s="36"/>
    </row>
    <row r="3365" spans="17:17" x14ac:dyDescent="0.25">
      <c r="Q3365" s="36"/>
    </row>
    <row r="3366" spans="17:17" x14ac:dyDescent="0.25">
      <c r="Q3366" s="36"/>
    </row>
    <row r="3367" spans="17:17" x14ac:dyDescent="0.25">
      <c r="Q3367" s="36"/>
    </row>
    <row r="3368" spans="17:17" x14ac:dyDescent="0.25">
      <c r="Q3368" s="36"/>
    </row>
    <row r="3369" spans="17:17" x14ac:dyDescent="0.25">
      <c r="Q3369" s="36"/>
    </row>
    <row r="3370" spans="17:17" x14ac:dyDescent="0.25">
      <c r="Q3370" s="36"/>
    </row>
    <row r="3371" spans="17:17" x14ac:dyDescent="0.25">
      <c r="Q3371" s="36"/>
    </row>
    <row r="3372" spans="17:17" x14ac:dyDescent="0.25">
      <c r="Q3372" s="36"/>
    </row>
    <row r="3373" spans="17:17" x14ac:dyDescent="0.25">
      <c r="Q3373" s="36"/>
    </row>
    <row r="3374" spans="17:17" x14ac:dyDescent="0.25">
      <c r="Q3374" s="36"/>
    </row>
    <row r="3375" spans="17:17" x14ac:dyDescent="0.25">
      <c r="Q3375" s="36"/>
    </row>
    <row r="3376" spans="17:17" x14ac:dyDescent="0.25">
      <c r="Q3376" s="36"/>
    </row>
    <row r="3377" spans="17:17" x14ac:dyDescent="0.25">
      <c r="Q3377" s="36"/>
    </row>
    <row r="3378" spans="17:17" x14ac:dyDescent="0.25">
      <c r="Q3378" s="36"/>
    </row>
    <row r="3379" spans="17:17" x14ac:dyDescent="0.25">
      <c r="Q3379" s="36"/>
    </row>
    <row r="3380" spans="17:17" x14ac:dyDescent="0.25">
      <c r="Q3380" s="36"/>
    </row>
    <row r="3381" spans="17:17" x14ac:dyDescent="0.25">
      <c r="Q3381" s="36"/>
    </row>
    <row r="3382" spans="17:17" x14ac:dyDescent="0.25">
      <c r="Q3382" s="36"/>
    </row>
    <row r="3383" spans="17:17" x14ac:dyDescent="0.25">
      <c r="Q3383" s="36"/>
    </row>
    <row r="3384" spans="17:17" x14ac:dyDescent="0.25">
      <c r="Q3384" s="36"/>
    </row>
    <row r="3385" spans="17:17" x14ac:dyDescent="0.25">
      <c r="Q3385" s="36"/>
    </row>
    <row r="3386" spans="17:17" x14ac:dyDescent="0.25">
      <c r="Q3386" s="36"/>
    </row>
    <row r="3387" spans="17:17" x14ac:dyDescent="0.25">
      <c r="Q3387" s="36"/>
    </row>
    <row r="3388" spans="17:17" x14ac:dyDescent="0.25">
      <c r="Q3388" s="36"/>
    </row>
    <row r="3389" spans="17:17" x14ac:dyDescent="0.25">
      <c r="Q3389" s="36"/>
    </row>
    <row r="3390" spans="17:17" x14ac:dyDescent="0.25">
      <c r="Q3390" s="36"/>
    </row>
    <row r="3391" spans="17:17" x14ac:dyDescent="0.25">
      <c r="Q3391" s="36"/>
    </row>
    <row r="3392" spans="17:17" x14ac:dyDescent="0.25">
      <c r="Q3392" s="36"/>
    </row>
    <row r="3393" spans="17:17" x14ac:dyDescent="0.25">
      <c r="Q3393" s="36"/>
    </row>
    <row r="3394" spans="17:17" x14ac:dyDescent="0.25">
      <c r="Q3394" s="36"/>
    </row>
    <row r="3395" spans="17:17" x14ac:dyDescent="0.25">
      <c r="Q3395" s="36"/>
    </row>
    <row r="3396" spans="17:17" x14ac:dyDescent="0.25">
      <c r="Q3396" s="36"/>
    </row>
    <row r="3397" spans="17:17" x14ac:dyDescent="0.25">
      <c r="Q3397" s="36"/>
    </row>
    <row r="3398" spans="17:17" x14ac:dyDescent="0.25">
      <c r="Q3398" s="36"/>
    </row>
    <row r="3399" spans="17:17" x14ac:dyDescent="0.25">
      <c r="Q3399" s="36"/>
    </row>
    <row r="3400" spans="17:17" x14ac:dyDescent="0.25">
      <c r="Q3400" s="36"/>
    </row>
    <row r="3401" spans="17:17" x14ac:dyDescent="0.25">
      <c r="Q3401" s="36"/>
    </row>
    <row r="3402" spans="17:17" x14ac:dyDescent="0.25">
      <c r="Q3402" s="36"/>
    </row>
    <row r="3403" spans="17:17" x14ac:dyDescent="0.25">
      <c r="Q3403" s="36"/>
    </row>
    <row r="3404" spans="17:17" x14ac:dyDescent="0.25">
      <c r="Q3404" s="36"/>
    </row>
    <row r="3405" spans="17:17" x14ac:dyDescent="0.25">
      <c r="Q3405" s="36"/>
    </row>
    <row r="3406" spans="17:17" x14ac:dyDescent="0.25">
      <c r="Q3406" s="36"/>
    </row>
    <row r="3407" spans="17:17" x14ac:dyDescent="0.25">
      <c r="Q3407" s="36"/>
    </row>
    <row r="3408" spans="17:17" x14ac:dyDescent="0.25">
      <c r="Q3408" s="36"/>
    </row>
    <row r="3409" spans="17:17" x14ac:dyDescent="0.25">
      <c r="Q3409" s="36"/>
    </row>
    <row r="3410" spans="17:17" x14ac:dyDescent="0.25">
      <c r="Q3410" s="36"/>
    </row>
    <row r="3411" spans="17:17" x14ac:dyDescent="0.25">
      <c r="Q3411" s="36"/>
    </row>
    <row r="3412" spans="17:17" x14ac:dyDescent="0.25">
      <c r="Q3412" s="36"/>
    </row>
    <row r="3413" spans="17:17" x14ac:dyDescent="0.25">
      <c r="Q3413" s="36"/>
    </row>
    <row r="3414" spans="17:17" x14ac:dyDescent="0.25">
      <c r="Q3414" s="36"/>
    </row>
    <row r="3415" spans="17:17" x14ac:dyDescent="0.25">
      <c r="Q3415" s="36"/>
    </row>
    <row r="3416" spans="17:17" x14ac:dyDescent="0.25">
      <c r="Q3416" s="36"/>
    </row>
    <row r="3417" spans="17:17" x14ac:dyDescent="0.25">
      <c r="Q3417" s="36"/>
    </row>
    <row r="3418" spans="17:17" x14ac:dyDescent="0.25">
      <c r="Q3418" s="36"/>
    </row>
    <row r="3419" spans="17:17" x14ac:dyDescent="0.25">
      <c r="Q3419" s="36"/>
    </row>
    <row r="3420" spans="17:17" x14ac:dyDescent="0.25">
      <c r="Q3420" s="36"/>
    </row>
    <row r="3421" spans="17:17" x14ac:dyDescent="0.25">
      <c r="Q3421" s="36"/>
    </row>
    <row r="3422" spans="17:17" x14ac:dyDescent="0.25">
      <c r="Q3422" s="36"/>
    </row>
    <row r="3423" spans="17:17" x14ac:dyDescent="0.25">
      <c r="Q3423" s="36"/>
    </row>
    <row r="3424" spans="17:17" x14ac:dyDescent="0.25">
      <c r="Q3424" s="36"/>
    </row>
    <row r="3425" spans="17:17" x14ac:dyDescent="0.25">
      <c r="Q3425" s="36"/>
    </row>
    <row r="3426" spans="17:17" x14ac:dyDescent="0.25">
      <c r="Q3426" s="36"/>
    </row>
    <row r="3427" spans="17:17" x14ac:dyDescent="0.25">
      <c r="Q3427" s="36"/>
    </row>
    <row r="3428" spans="17:17" x14ac:dyDescent="0.25">
      <c r="Q3428" s="36"/>
    </row>
    <row r="3429" spans="17:17" x14ac:dyDescent="0.25">
      <c r="Q3429" s="36"/>
    </row>
    <row r="3430" spans="17:17" x14ac:dyDescent="0.25">
      <c r="Q3430" s="36"/>
    </row>
    <row r="3431" spans="17:17" x14ac:dyDescent="0.25">
      <c r="Q3431" s="36"/>
    </row>
    <row r="3432" spans="17:17" x14ac:dyDescent="0.25">
      <c r="Q3432" s="36"/>
    </row>
    <row r="3433" spans="17:17" x14ac:dyDescent="0.25">
      <c r="Q3433" s="36"/>
    </row>
    <row r="3434" spans="17:17" x14ac:dyDescent="0.25">
      <c r="Q3434" s="36"/>
    </row>
    <row r="3435" spans="17:17" x14ac:dyDescent="0.25">
      <c r="Q3435" s="36"/>
    </row>
    <row r="3436" spans="17:17" x14ac:dyDescent="0.25">
      <c r="Q3436" s="36"/>
    </row>
    <row r="3437" spans="17:17" x14ac:dyDescent="0.25">
      <c r="Q3437" s="36"/>
    </row>
    <row r="3438" spans="17:17" x14ac:dyDescent="0.25">
      <c r="Q3438" s="36"/>
    </row>
    <row r="3439" spans="17:17" x14ac:dyDescent="0.25">
      <c r="Q3439" s="36"/>
    </row>
    <row r="3440" spans="17:17" x14ac:dyDescent="0.25">
      <c r="Q3440" s="36"/>
    </row>
    <row r="3441" spans="17:17" x14ac:dyDescent="0.25">
      <c r="Q3441" s="36"/>
    </row>
    <row r="3442" spans="17:17" x14ac:dyDescent="0.25">
      <c r="Q3442" s="36"/>
    </row>
    <row r="3443" spans="17:17" x14ac:dyDescent="0.25">
      <c r="Q3443" s="36"/>
    </row>
    <row r="3444" spans="17:17" x14ac:dyDescent="0.25">
      <c r="Q3444" s="36"/>
    </row>
    <row r="3445" spans="17:17" x14ac:dyDescent="0.25">
      <c r="Q3445" s="36"/>
    </row>
    <row r="3446" spans="17:17" x14ac:dyDescent="0.25">
      <c r="Q3446" s="36"/>
    </row>
    <row r="3447" spans="17:17" x14ac:dyDescent="0.25">
      <c r="Q3447" s="36"/>
    </row>
    <row r="3448" spans="17:17" x14ac:dyDescent="0.25">
      <c r="Q3448" s="36"/>
    </row>
    <row r="3449" spans="17:17" x14ac:dyDescent="0.25">
      <c r="Q3449" s="36"/>
    </row>
    <row r="3450" spans="17:17" x14ac:dyDescent="0.25">
      <c r="Q3450" s="36"/>
    </row>
    <row r="3451" spans="17:17" x14ac:dyDescent="0.25">
      <c r="Q3451" s="36"/>
    </row>
    <row r="3452" spans="17:17" x14ac:dyDescent="0.25">
      <c r="Q3452" s="36"/>
    </row>
    <row r="3453" spans="17:17" x14ac:dyDescent="0.25">
      <c r="Q3453" s="36"/>
    </row>
    <row r="3454" spans="17:17" x14ac:dyDescent="0.25">
      <c r="Q3454" s="36"/>
    </row>
    <row r="3455" spans="17:17" x14ac:dyDescent="0.25">
      <c r="Q3455" s="36"/>
    </row>
    <row r="3456" spans="17:17" x14ac:dyDescent="0.25">
      <c r="Q3456" s="36"/>
    </row>
    <row r="3457" spans="17:17" x14ac:dyDescent="0.25">
      <c r="Q3457" s="36"/>
    </row>
    <row r="3458" spans="17:17" x14ac:dyDescent="0.25">
      <c r="Q3458" s="36"/>
    </row>
    <row r="3459" spans="17:17" x14ac:dyDescent="0.25">
      <c r="Q3459" s="36"/>
    </row>
    <row r="3460" spans="17:17" x14ac:dyDescent="0.25">
      <c r="Q3460" s="36"/>
    </row>
    <row r="3461" spans="17:17" x14ac:dyDescent="0.25">
      <c r="Q3461" s="36"/>
    </row>
    <row r="3462" spans="17:17" x14ac:dyDescent="0.25">
      <c r="Q3462" s="36"/>
    </row>
    <row r="3463" spans="17:17" x14ac:dyDescent="0.25">
      <c r="Q3463" s="36"/>
    </row>
    <row r="3464" spans="17:17" x14ac:dyDescent="0.25">
      <c r="Q3464" s="36"/>
    </row>
    <row r="3465" spans="17:17" x14ac:dyDescent="0.25">
      <c r="Q3465" s="36"/>
    </row>
    <row r="3466" spans="17:17" x14ac:dyDescent="0.25">
      <c r="Q3466" s="36"/>
    </row>
    <row r="3467" spans="17:17" x14ac:dyDescent="0.25">
      <c r="Q3467" s="36"/>
    </row>
    <row r="3468" spans="17:17" x14ac:dyDescent="0.25">
      <c r="Q3468" s="36"/>
    </row>
    <row r="3469" spans="17:17" x14ac:dyDescent="0.25">
      <c r="Q3469" s="36"/>
    </row>
    <row r="3470" spans="17:17" x14ac:dyDescent="0.25">
      <c r="Q3470" s="36"/>
    </row>
    <row r="3471" spans="17:17" x14ac:dyDescent="0.25">
      <c r="Q3471" s="36"/>
    </row>
    <row r="3472" spans="17:17" x14ac:dyDescent="0.25">
      <c r="Q3472" s="36"/>
    </row>
    <row r="3473" spans="17:17" x14ac:dyDescent="0.25">
      <c r="Q3473" s="36"/>
    </row>
    <row r="3474" spans="17:17" x14ac:dyDescent="0.25">
      <c r="Q3474" s="36"/>
    </row>
    <row r="3475" spans="17:17" x14ac:dyDescent="0.25">
      <c r="Q3475" s="36"/>
    </row>
    <row r="3476" spans="17:17" x14ac:dyDescent="0.25">
      <c r="Q3476" s="36"/>
    </row>
    <row r="3477" spans="17:17" x14ac:dyDescent="0.25">
      <c r="Q3477" s="36"/>
    </row>
    <row r="3478" spans="17:17" x14ac:dyDescent="0.25">
      <c r="Q3478" s="36"/>
    </row>
    <row r="3479" spans="17:17" x14ac:dyDescent="0.25">
      <c r="Q3479" s="36"/>
    </row>
    <row r="3480" spans="17:17" x14ac:dyDescent="0.25">
      <c r="Q3480" s="36"/>
    </row>
    <row r="3481" spans="17:17" x14ac:dyDescent="0.25">
      <c r="Q3481" s="36"/>
    </row>
    <row r="3482" spans="17:17" x14ac:dyDescent="0.25">
      <c r="Q3482" s="36"/>
    </row>
    <row r="3483" spans="17:17" x14ac:dyDescent="0.25">
      <c r="Q3483" s="36"/>
    </row>
    <row r="3484" spans="17:17" x14ac:dyDescent="0.25">
      <c r="Q3484" s="36"/>
    </row>
    <row r="3485" spans="17:17" x14ac:dyDescent="0.25">
      <c r="Q3485" s="36"/>
    </row>
    <row r="3486" spans="17:17" x14ac:dyDescent="0.25">
      <c r="Q3486" s="36"/>
    </row>
    <row r="3487" spans="17:17" x14ac:dyDescent="0.25">
      <c r="Q3487" s="36"/>
    </row>
    <row r="3488" spans="17:17" x14ac:dyDescent="0.25">
      <c r="Q3488" s="36"/>
    </row>
    <row r="3489" spans="17:17" x14ac:dyDescent="0.25">
      <c r="Q3489" s="36"/>
    </row>
    <row r="3490" spans="17:17" x14ac:dyDescent="0.25">
      <c r="Q3490" s="36"/>
    </row>
    <row r="3491" spans="17:17" x14ac:dyDescent="0.25">
      <c r="Q3491" s="36"/>
    </row>
    <row r="3492" spans="17:17" x14ac:dyDescent="0.25">
      <c r="Q3492" s="36"/>
    </row>
    <row r="3493" spans="17:17" x14ac:dyDescent="0.25">
      <c r="Q3493" s="36"/>
    </row>
    <row r="3494" spans="17:17" x14ac:dyDescent="0.25">
      <c r="Q3494" s="36"/>
    </row>
    <row r="3495" spans="17:17" x14ac:dyDescent="0.25">
      <c r="Q3495" s="36"/>
    </row>
    <row r="3496" spans="17:17" x14ac:dyDescent="0.25">
      <c r="Q3496" s="36"/>
    </row>
    <row r="3497" spans="17:17" x14ac:dyDescent="0.25">
      <c r="Q3497" s="36"/>
    </row>
    <row r="3498" spans="17:17" x14ac:dyDescent="0.25">
      <c r="Q3498" s="36"/>
    </row>
    <row r="3499" spans="17:17" x14ac:dyDescent="0.25">
      <c r="Q3499" s="36"/>
    </row>
    <row r="3500" spans="17:17" x14ac:dyDescent="0.25">
      <c r="Q3500" s="36"/>
    </row>
  </sheetData>
  <sheetProtection sheet="1" scenarios="1"/>
  <mergeCells count="6">
    <mergeCell ref="H26:J26"/>
    <mergeCell ref="H27:J27"/>
    <mergeCell ref="H22:J22"/>
    <mergeCell ref="H23:J23"/>
    <mergeCell ref="H24:J24"/>
    <mergeCell ref="H25:J25"/>
  </mergeCells>
  <phoneticPr fontId="0" type="noConversion"/>
  <hyperlinks>
    <hyperlink ref="H23" location="'Return On Investment'!A1" display="FORWARD TO RESULTS"/>
    <hyperlink ref="H25" location="'Personnel Expenses'!A1" display="PERSONNEL EXPENSES"/>
    <hyperlink ref="H26" location="'Expense Projection'!A1" display="EXPENSE PROJECTIONS"/>
    <hyperlink ref="H27" location="Depreciation!A1" display="DEPRECIATION"/>
  </hyperlink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showRowColHeaders="0" topLeftCell="B1" workbookViewId="0">
      <selection activeCell="B13" sqref="B13"/>
    </sheetView>
  </sheetViews>
  <sheetFormatPr defaultRowHeight="13.2" x14ac:dyDescent="0.25"/>
  <cols>
    <col min="1" max="1" width="2" customWidth="1"/>
    <col min="2" max="2" width="28" bestFit="1" customWidth="1"/>
    <col min="3" max="3" width="14.44140625" bestFit="1" customWidth="1"/>
    <col min="4" max="4" width="5.5546875" customWidth="1"/>
    <col min="5" max="5" width="17.88671875" bestFit="1" customWidth="1"/>
    <col min="6" max="6" width="14.44140625" bestFit="1" customWidth="1"/>
    <col min="7" max="7" width="4.5546875" customWidth="1"/>
    <col min="8" max="8" width="24.44140625" bestFit="1" customWidth="1"/>
    <col min="9" max="9" width="12.88671875" bestFit="1" customWidth="1"/>
  </cols>
  <sheetData>
    <row r="1" spans="2:9" ht="5.25" customHeight="1" thickBot="1" x14ac:dyDescent="0.3"/>
    <row r="2" spans="2:9" ht="13.8" thickBot="1" x14ac:dyDescent="0.3">
      <c r="B2" s="50" t="s">
        <v>183</v>
      </c>
      <c r="C2" t="s">
        <v>370</v>
      </c>
    </row>
    <row r="3" spans="2:9" ht="13.8" thickBot="1" x14ac:dyDescent="0.3">
      <c r="B3" s="202" t="s">
        <v>182</v>
      </c>
    </row>
    <row r="4" spans="2:9" ht="13.8" thickBot="1" x14ac:dyDescent="0.3">
      <c r="B4" s="203" t="s">
        <v>177</v>
      </c>
    </row>
    <row r="5" spans="2:9" ht="13.5" customHeight="1" x14ac:dyDescent="0.25"/>
    <row r="6" spans="2:9" x14ac:dyDescent="0.25">
      <c r="B6" s="40" t="s">
        <v>213</v>
      </c>
      <c r="C6" s="46"/>
      <c r="D6" s="27"/>
      <c r="E6" s="40" t="s">
        <v>139</v>
      </c>
      <c r="F6" s="42"/>
      <c r="G6" s="16"/>
      <c r="H6" s="40" t="s">
        <v>138</v>
      </c>
      <c r="I6" s="41"/>
    </row>
    <row r="7" spans="2:9" x14ac:dyDescent="0.25">
      <c r="B7" s="28" t="s">
        <v>258</v>
      </c>
      <c r="C7" s="183">
        <f>(Efficiency!E17*Efficiency!H10)/2000</f>
        <v>18445.518367346944</v>
      </c>
      <c r="E7" s="28" t="s">
        <v>142</v>
      </c>
      <c r="F7" s="182">
        <f>+C12</f>
        <v>100</v>
      </c>
      <c r="G7" s="16"/>
      <c r="H7" s="28" t="s">
        <v>151</v>
      </c>
      <c r="I7" s="35">
        <f>Equipment!F32</f>
        <v>3925</v>
      </c>
    </row>
    <row r="8" spans="2:9" x14ac:dyDescent="0.25">
      <c r="B8" s="28" t="s">
        <v>259</v>
      </c>
      <c r="C8" s="32">
        <v>0.13</v>
      </c>
      <c r="E8" s="28" t="s">
        <v>143</v>
      </c>
      <c r="F8" s="29">
        <v>1500</v>
      </c>
      <c r="G8" s="16"/>
      <c r="H8" t="s">
        <v>281</v>
      </c>
      <c r="I8" s="319">
        <f>I7*Efficiency!H6*(Efficiency!H8-Efficiency!H9)</f>
        <v>3768000</v>
      </c>
    </row>
    <row r="9" spans="2:9" x14ac:dyDescent="0.25">
      <c r="B9" t="s">
        <v>319</v>
      </c>
      <c r="C9">
        <v>0.08</v>
      </c>
      <c r="E9" s="28" t="s">
        <v>144</v>
      </c>
      <c r="F9" s="29">
        <f>(F7*F8)</f>
        <v>150000</v>
      </c>
      <c r="G9" s="16"/>
      <c r="H9" s="28" t="s">
        <v>140</v>
      </c>
      <c r="I9" s="34">
        <f>+'Input Value'!F3</f>
        <v>0.08</v>
      </c>
    </row>
    <row r="10" spans="2:9" x14ac:dyDescent="0.25">
      <c r="B10" s="28" t="s">
        <v>320</v>
      </c>
      <c r="C10" s="183">
        <f>2000*(1-C8)</f>
        <v>1740</v>
      </c>
      <c r="E10" s="28" t="s">
        <v>145</v>
      </c>
      <c r="F10" s="30">
        <f>F9*C7</f>
        <v>2766827755.1020417</v>
      </c>
      <c r="G10" s="16"/>
      <c r="H10" s="28" t="s">
        <v>141</v>
      </c>
      <c r="I10" s="29">
        <v>0.746</v>
      </c>
    </row>
    <row r="11" spans="2:9" x14ac:dyDescent="0.25">
      <c r="B11" s="28" t="s">
        <v>321</v>
      </c>
      <c r="C11" s="32">
        <f>2000*(1-C9)</f>
        <v>1840</v>
      </c>
      <c r="E11" s="28" t="s">
        <v>146</v>
      </c>
      <c r="F11" s="29">
        <f>(F10/1000000)</f>
        <v>2766.8277551020419</v>
      </c>
      <c r="G11" s="16"/>
      <c r="H11" s="38" t="s">
        <v>152</v>
      </c>
      <c r="I11" s="183">
        <f>I8*I9*I10</f>
        <v>224874.23999999999</v>
      </c>
    </row>
    <row r="12" spans="2:9" x14ac:dyDescent="0.25">
      <c r="B12" s="28" t="s">
        <v>322</v>
      </c>
      <c r="C12" s="183">
        <f>(2000-C10)-(2000-C11)</f>
        <v>100</v>
      </c>
      <c r="E12" s="28" t="s">
        <v>147</v>
      </c>
      <c r="F12" s="34">
        <f>'Input Value'!F5</f>
        <v>3</v>
      </c>
      <c r="G12" s="16"/>
      <c r="H12" s="38" t="s">
        <v>152</v>
      </c>
      <c r="I12" s="187">
        <f>+I11*I9</f>
        <v>17989.939200000001</v>
      </c>
    </row>
    <row r="13" spans="2:9" x14ac:dyDescent="0.25">
      <c r="B13" s="28" t="s">
        <v>323</v>
      </c>
      <c r="C13" s="318">
        <f>2000/Efficiency!H10</f>
        <v>4.0918443696221475E-2</v>
      </c>
      <c r="E13" s="38" t="s">
        <v>153</v>
      </c>
      <c r="F13" s="43">
        <f>(F11*F12)</f>
        <v>8300.4832653061258</v>
      </c>
      <c r="G13" s="16"/>
      <c r="H13" s="38" t="s">
        <v>274</v>
      </c>
      <c r="I13" s="39">
        <f>I11/Efficiency!H10</f>
        <v>4.6007519640852976</v>
      </c>
    </row>
    <row r="14" spans="2:9" x14ac:dyDescent="0.25">
      <c r="B14" s="28"/>
      <c r="C14" s="184"/>
      <c r="E14" s="38" t="s">
        <v>275</v>
      </c>
      <c r="F14" s="39">
        <f>F11/Efficiency!H10</f>
        <v>5.6607142857142884E-2</v>
      </c>
      <c r="G14" s="16" t="s">
        <v>130</v>
      </c>
    </row>
    <row r="15" spans="2:9" x14ac:dyDescent="0.25">
      <c r="B15" s="28"/>
      <c r="C15" s="32"/>
      <c r="G15" s="16"/>
      <c r="H15" s="40" t="s">
        <v>150</v>
      </c>
      <c r="I15" s="41" t="s">
        <v>351</v>
      </c>
    </row>
    <row r="16" spans="2:9" x14ac:dyDescent="0.25">
      <c r="B16" s="37"/>
      <c r="C16" s="257"/>
      <c r="D16" s="29"/>
      <c r="E16" s="40" t="s">
        <v>154</v>
      </c>
      <c r="F16" s="44"/>
      <c r="G16" s="16"/>
      <c r="H16" s="28" t="s">
        <v>349</v>
      </c>
      <c r="I16" s="185">
        <f>Efficiency!B23*'Input Value'!C25*'Input Value'!C26</f>
        <v>42323.159088226057</v>
      </c>
    </row>
    <row r="17" spans="2:9" x14ac:dyDescent="0.25">
      <c r="B17" s="40" t="s">
        <v>348</v>
      </c>
      <c r="C17" s="331"/>
      <c r="D17" s="29"/>
      <c r="E17" t="s">
        <v>155</v>
      </c>
      <c r="F17" s="185">
        <f>250*12</f>
        <v>3000</v>
      </c>
      <c r="G17" s="16"/>
      <c r="H17" s="28" t="s">
        <v>350</v>
      </c>
      <c r="I17" s="31">
        <f>Efficiency!H10/'Input Value'!C29*'Input Value'!C27*'Input Value'!C28</f>
        <v>5806.6724571428576</v>
      </c>
    </row>
    <row r="18" spans="2:9" x14ac:dyDescent="0.25">
      <c r="B18" s="162" t="s">
        <v>152</v>
      </c>
      <c r="C18" s="330">
        <f>Utilities!I11</f>
        <v>224874.23999999999</v>
      </c>
      <c r="D18" s="29"/>
      <c r="E18" t="s">
        <v>272</v>
      </c>
      <c r="F18" s="22">
        <f>F17/Efficiency!H10</f>
        <v>6.1377665544332216E-2</v>
      </c>
      <c r="G18" s="18"/>
      <c r="H18" s="37"/>
      <c r="I18" s="254"/>
    </row>
    <row r="19" spans="2:9" x14ac:dyDescent="0.25">
      <c r="B19" s="162" t="s">
        <v>254</v>
      </c>
      <c r="C19" s="330">
        <f>Utilities!I13</f>
        <v>4.6007519640852976</v>
      </c>
      <c r="E19" t="s">
        <v>156</v>
      </c>
      <c r="F19" s="186">
        <f>200*12</f>
        <v>2400</v>
      </c>
      <c r="G19" s="16"/>
      <c r="H19" s="37"/>
      <c r="I19" s="255"/>
    </row>
    <row r="20" spans="2:9" x14ac:dyDescent="0.25">
      <c r="B20" s="162" t="s">
        <v>157</v>
      </c>
      <c r="C20" s="330">
        <f>Utilities!F17</f>
        <v>3000</v>
      </c>
      <c r="E20" t="s">
        <v>273</v>
      </c>
      <c r="F20" s="22">
        <f>F19/Efficiency!H10</f>
        <v>4.9102132435465774E-2</v>
      </c>
      <c r="G20" s="16"/>
      <c r="H20" s="16"/>
      <c r="I20" s="16"/>
    </row>
    <row r="21" spans="2:9" x14ac:dyDescent="0.25">
      <c r="B21" s="162" t="s">
        <v>344</v>
      </c>
      <c r="C21" s="330">
        <f>Utilities!F18</f>
        <v>6.1377665544332216E-2</v>
      </c>
    </row>
    <row r="22" spans="2:9" x14ac:dyDescent="0.25">
      <c r="B22" s="162" t="s">
        <v>158</v>
      </c>
      <c r="C22" s="330">
        <f>Utilities!F13</f>
        <v>8300.4832653061258</v>
      </c>
      <c r="D22" s="1" t="s">
        <v>130</v>
      </c>
    </row>
    <row r="23" spans="2:9" x14ac:dyDescent="0.25">
      <c r="B23" s="162" t="s">
        <v>255</v>
      </c>
      <c r="C23" s="330">
        <f>Utilities!F14</f>
        <v>5.6607142857142884E-2</v>
      </c>
    </row>
    <row r="24" spans="2:9" x14ac:dyDescent="0.25">
      <c r="B24" s="162" t="s">
        <v>159</v>
      </c>
      <c r="C24" s="330">
        <f>Utilities!F19</f>
        <v>2400</v>
      </c>
    </row>
    <row r="25" spans="2:9" x14ac:dyDescent="0.25">
      <c r="B25" s="162" t="s">
        <v>256</v>
      </c>
      <c r="C25" s="330">
        <f>Utilities!F20</f>
        <v>4.9102132435465774E-2</v>
      </c>
    </row>
    <row r="26" spans="2:9" x14ac:dyDescent="0.25">
      <c r="D26" s="33"/>
    </row>
    <row r="27" spans="2:9" x14ac:dyDescent="0.25">
      <c r="D27" s="33"/>
    </row>
    <row r="28" spans="2:9" x14ac:dyDescent="0.25">
      <c r="D28" s="39"/>
      <c r="E28" s="33"/>
    </row>
    <row r="29" spans="2:9" x14ac:dyDescent="0.25">
      <c r="E29" s="28" t="s">
        <v>130</v>
      </c>
    </row>
    <row r="30" spans="2:9" x14ac:dyDescent="0.25">
      <c r="E30" s="28" t="s">
        <v>130</v>
      </c>
    </row>
    <row r="33" spans="5:5" x14ac:dyDescent="0.25">
      <c r="E33" t="s">
        <v>130</v>
      </c>
    </row>
  </sheetData>
  <sheetProtection sheet="1"/>
  <phoneticPr fontId="0" type="noConversion"/>
  <hyperlinks>
    <hyperlink ref="B3" location="'Input Value'!A1" display="BACK TO INPUTS"/>
    <hyperlink ref="B4" location="'Return On Investment'!A1" display="FORWARD TO RESULTS"/>
  </hyperlinks>
  <printOptions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showRowColHeaders="0" workbookViewId="0">
      <selection activeCell="C8" sqref="C8"/>
    </sheetView>
  </sheetViews>
  <sheetFormatPr defaultRowHeight="13.2" x14ac:dyDescent="0.25"/>
  <cols>
    <col min="1" max="1" width="2" customWidth="1"/>
    <col min="2" max="2" width="23.33203125" bestFit="1" customWidth="1"/>
    <col min="3" max="3" width="10.6640625" bestFit="1" customWidth="1"/>
    <col min="4" max="12" width="10.6640625" customWidth="1"/>
  </cols>
  <sheetData>
    <row r="1" spans="2:12" ht="8.25" customHeight="1" thickBot="1" x14ac:dyDescent="0.3"/>
    <row r="2" spans="2:12" ht="13.8" thickBot="1" x14ac:dyDescent="0.3">
      <c r="B2" s="50" t="s">
        <v>183</v>
      </c>
      <c r="C2" t="s">
        <v>370</v>
      </c>
    </row>
    <row r="3" spans="2:12" ht="13.8" thickBot="1" x14ac:dyDescent="0.3">
      <c r="B3" s="208" t="s">
        <v>182</v>
      </c>
    </row>
    <row r="4" spans="2:12" ht="13.8" thickBot="1" x14ac:dyDescent="0.3">
      <c r="B4" s="209" t="s">
        <v>177</v>
      </c>
    </row>
    <row r="6" spans="2:12" x14ac:dyDescent="0.25">
      <c r="B6" s="1" t="s">
        <v>124</v>
      </c>
    </row>
    <row r="8" spans="2:12" x14ac:dyDescent="0.25">
      <c r="B8" s="1" t="s">
        <v>11</v>
      </c>
      <c r="C8" s="11">
        <f>Depreciation!D35</f>
        <v>5629631</v>
      </c>
    </row>
    <row r="9" spans="2:12" x14ac:dyDescent="0.25">
      <c r="B9" s="1" t="s">
        <v>14</v>
      </c>
      <c r="C9" s="10">
        <f>'Input Value'!C5</f>
        <v>7.4999999999999997E-2</v>
      </c>
    </row>
    <row r="10" spans="2:12" x14ac:dyDescent="0.25">
      <c r="B10" s="1" t="s">
        <v>15</v>
      </c>
      <c r="C10" s="10">
        <f>'Input Value'!C4</f>
        <v>0.5</v>
      </c>
    </row>
    <row r="11" spans="2:12" x14ac:dyDescent="0.25">
      <c r="B11" s="1" t="s">
        <v>12</v>
      </c>
      <c r="C11" s="11">
        <f>+C8*C10</f>
        <v>2814815.5</v>
      </c>
    </row>
    <row r="12" spans="2:12" x14ac:dyDescent="0.25">
      <c r="B12" s="1" t="s">
        <v>13</v>
      </c>
      <c r="C12" s="21">
        <f>'Input Value'!C6</f>
        <v>10</v>
      </c>
    </row>
    <row r="14" spans="2:12" x14ac:dyDescent="0.25">
      <c r="C14" s="7"/>
    </row>
    <row r="16" spans="2:12" x14ac:dyDescent="0.25"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5</v>
      </c>
      <c r="I16" s="2" t="s">
        <v>6</v>
      </c>
      <c r="J16" s="2" t="s">
        <v>7</v>
      </c>
      <c r="K16" s="2" t="s">
        <v>8</v>
      </c>
      <c r="L16" s="2" t="s">
        <v>9</v>
      </c>
    </row>
    <row r="17" spans="2:12" x14ac:dyDescent="0.25">
      <c r="B17" s="1" t="s">
        <v>17</v>
      </c>
      <c r="C17" s="9">
        <f>$C$11</f>
        <v>2814815.5</v>
      </c>
      <c r="D17" s="9">
        <f>C24</f>
        <v>2615847.6558490759</v>
      </c>
      <c r="E17" s="9">
        <f t="shared" ref="E17:L17" si="0">D24</f>
        <v>2401957.2233868325</v>
      </c>
      <c r="F17" s="9">
        <f t="shared" si="0"/>
        <v>2172025.0084899208</v>
      </c>
      <c r="G17" s="9">
        <f t="shared" si="0"/>
        <v>1924847.8774757406</v>
      </c>
      <c r="H17" s="9">
        <f t="shared" si="0"/>
        <v>1659132.4616354969</v>
      </c>
      <c r="I17" s="9">
        <f t="shared" si="0"/>
        <v>1373488.3896072349</v>
      </c>
      <c r="J17" s="9">
        <f t="shared" si="0"/>
        <v>1066421.0121768531</v>
      </c>
      <c r="K17" s="9">
        <f t="shared" si="0"/>
        <v>736323.58143919287</v>
      </c>
      <c r="L17" s="9">
        <f t="shared" si="0"/>
        <v>381468.84339620813</v>
      </c>
    </row>
    <row r="18" spans="2:12" x14ac:dyDescent="0.25">
      <c r="B18" s="1" t="s">
        <v>18</v>
      </c>
      <c r="C18" s="8">
        <f>$C$9</f>
        <v>7.4999999999999997E-2</v>
      </c>
      <c r="D18" s="8">
        <f t="shared" ref="D18:L18" si="1">$C$9</f>
        <v>7.4999999999999997E-2</v>
      </c>
      <c r="E18" s="8">
        <f t="shared" si="1"/>
        <v>7.4999999999999997E-2</v>
      </c>
      <c r="F18" s="8">
        <f t="shared" si="1"/>
        <v>7.4999999999999997E-2</v>
      </c>
      <c r="G18" s="8">
        <f t="shared" si="1"/>
        <v>7.4999999999999997E-2</v>
      </c>
      <c r="H18" s="8">
        <f t="shared" si="1"/>
        <v>7.4999999999999997E-2</v>
      </c>
      <c r="I18" s="8">
        <f t="shared" si="1"/>
        <v>7.4999999999999997E-2</v>
      </c>
      <c r="J18" s="8">
        <f t="shared" si="1"/>
        <v>7.4999999999999997E-2</v>
      </c>
      <c r="K18" s="8">
        <f t="shared" si="1"/>
        <v>7.4999999999999997E-2</v>
      </c>
      <c r="L18" s="8">
        <f t="shared" si="1"/>
        <v>7.4999999999999997E-2</v>
      </c>
    </row>
    <row r="19" spans="2:12" x14ac:dyDescent="0.25">
      <c r="B19" s="1" t="s">
        <v>19</v>
      </c>
      <c r="C19" s="9">
        <f>C17*C18</f>
        <v>211111.16250000001</v>
      </c>
      <c r="D19" s="9">
        <f t="shared" ref="D19:L19" si="2">D17*D18</f>
        <v>196188.57418868068</v>
      </c>
      <c r="E19" s="9">
        <f t="shared" si="2"/>
        <v>180146.79175401243</v>
      </c>
      <c r="F19" s="9">
        <f t="shared" si="2"/>
        <v>162901.87563674405</v>
      </c>
      <c r="G19" s="9">
        <f t="shared" si="2"/>
        <v>144363.59081068053</v>
      </c>
      <c r="H19" s="9">
        <f t="shared" si="2"/>
        <v>124434.93462266226</v>
      </c>
      <c r="I19" s="9">
        <f t="shared" si="2"/>
        <v>103011.62922054261</v>
      </c>
      <c r="J19" s="9">
        <f t="shared" si="2"/>
        <v>79981.57591326398</v>
      </c>
      <c r="K19" s="9">
        <f t="shared" si="2"/>
        <v>55224.268607939463</v>
      </c>
      <c r="L19" s="9">
        <f t="shared" si="2"/>
        <v>28610.163254715608</v>
      </c>
    </row>
    <row r="20" spans="2:12" x14ac:dyDescent="0.25">
      <c r="B20" s="1"/>
    </row>
    <row r="21" spans="2:12" x14ac:dyDescent="0.25">
      <c r="B21" s="1" t="s">
        <v>20</v>
      </c>
      <c r="C21" s="9">
        <f t="shared" ref="C21:L21" si="3">PMT(C18,$C$12,-$C$11)</f>
        <v>410079.00665092422</v>
      </c>
      <c r="D21" s="9">
        <f t="shared" si="3"/>
        <v>410079.00665092422</v>
      </c>
      <c r="E21" s="9">
        <f t="shared" si="3"/>
        <v>410079.00665092422</v>
      </c>
      <c r="F21" s="9">
        <f t="shared" si="3"/>
        <v>410079.00665092422</v>
      </c>
      <c r="G21" s="9">
        <f t="shared" si="3"/>
        <v>410079.00665092422</v>
      </c>
      <c r="H21" s="9">
        <f t="shared" si="3"/>
        <v>410079.00665092422</v>
      </c>
      <c r="I21" s="9">
        <f t="shared" si="3"/>
        <v>410079.00665092422</v>
      </c>
      <c r="J21" s="9">
        <f t="shared" si="3"/>
        <v>410079.00665092422</v>
      </c>
      <c r="K21" s="9">
        <f t="shared" si="3"/>
        <v>410079.00665092422</v>
      </c>
      <c r="L21" s="9">
        <f t="shared" si="3"/>
        <v>410079.00665092422</v>
      </c>
    </row>
    <row r="22" spans="2:12" x14ac:dyDescent="0.25">
      <c r="B22" s="1" t="s">
        <v>21</v>
      </c>
      <c r="C22" s="9">
        <f>C21-C19</f>
        <v>198967.84415092421</v>
      </c>
      <c r="D22" s="9">
        <f t="shared" ref="D22:L22" si="4">D21-D19</f>
        <v>213890.43246224354</v>
      </c>
      <c r="E22" s="9">
        <f t="shared" si="4"/>
        <v>229932.21489691178</v>
      </c>
      <c r="F22" s="9">
        <f t="shared" si="4"/>
        <v>247177.13101418017</v>
      </c>
      <c r="G22" s="9">
        <f t="shared" si="4"/>
        <v>265715.41584024369</v>
      </c>
      <c r="H22" s="9">
        <f t="shared" si="4"/>
        <v>285644.07202826196</v>
      </c>
      <c r="I22" s="9">
        <f t="shared" si="4"/>
        <v>307067.3774303816</v>
      </c>
      <c r="J22" s="9">
        <f t="shared" si="4"/>
        <v>330097.43073766027</v>
      </c>
      <c r="K22" s="9">
        <f t="shared" si="4"/>
        <v>354854.73804298474</v>
      </c>
      <c r="L22" s="9">
        <f t="shared" si="4"/>
        <v>381468.8433962086</v>
      </c>
    </row>
    <row r="23" spans="2:12" x14ac:dyDescent="0.25">
      <c r="B23" s="1"/>
    </row>
    <row r="24" spans="2:12" x14ac:dyDescent="0.25">
      <c r="B24" s="1" t="s">
        <v>22</v>
      </c>
      <c r="C24" s="9">
        <f>C17-C22</f>
        <v>2615847.6558490759</v>
      </c>
      <c r="D24" s="9">
        <f t="shared" ref="D24:L24" si="5">D17-D22</f>
        <v>2401957.2233868325</v>
      </c>
      <c r="E24" s="9">
        <f t="shared" si="5"/>
        <v>2172025.0084899208</v>
      </c>
      <c r="F24" s="9">
        <f t="shared" si="5"/>
        <v>1924847.8774757406</v>
      </c>
      <c r="G24" s="9">
        <f t="shared" si="5"/>
        <v>1659132.4616354969</v>
      </c>
      <c r="H24" s="9">
        <f t="shared" si="5"/>
        <v>1373488.3896072349</v>
      </c>
      <c r="I24" s="9">
        <f t="shared" si="5"/>
        <v>1066421.0121768531</v>
      </c>
      <c r="J24" s="9">
        <f t="shared" si="5"/>
        <v>736323.58143919287</v>
      </c>
      <c r="K24" s="9">
        <f t="shared" si="5"/>
        <v>381468.84339620813</v>
      </c>
      <c r="L24" s="9">
        <f t="shared" si="5"/>
        <v>-4.6566128730773926E-10</v>
      </c>
    </row>
    <row r="27" spans="2:12" x14ac:dyDescent="0.25">
      <c r="B27" s="1" t="s">
        <v>16</v>
      </c>
      <c r="C27" s="11">
        <f>'Input Value'!C9</f>
        <v>1675420.1650486658</v>
      </c>
    </row>
    <row r="28" spans="2:12" x14ac:dyDescent="0.25">
      <c r="B28" s="1" t="s">
        <v>23</v>
      </c>
      <c r="C28" s="10">
        <f>'Input Value'!C10</f>
        <v>0.06</v>
      </c>
    </row>
    <row r="29" spans="2:12" x14ac:dyDescent="0.25">
      <c r="B29" s="1" t="s">
        <v>24</v>
      </c>
      <c r="C29" s="6">
        <f>C27*C28</f>
        <v>100525.20990291995</v>
      </c>
    </row>
    <row r="31" spans="2:12" x14ac:dyDescent="0.25">
      <c r="B31" s="1" t="s">
        <v>25</v>
      </c>
      <c r="C31" s="9">
        <f>C19+$C$29</f>
        <v>311636.37240291992</v>
      </c>
      <c r="D31" s="9">
        <f t="shared" ref="D31:L31" si="6">D19+$C$29</f>
        <v>296713.78409160062</v>
      </c>
      <c r="E31" s="9">
        <f t="shared" si="6"/>
        <v>280672.00165693241</v>
      </c>
      <c r="F31" s="9">
        <f t="shared" si="6"/>
        <v>263427.08553966403</v>
      </c>
      <c r="G31" s="9">
        <f t="shared" si="6"/>
        <v>244888.80071360047</v>
      </c>
      <c r="H31" s="9">
        <f t="shared" si="6"/>
        <v>224960.1445255822</v>
      </c>
      <c r="I31" s="9">
        <f t="shared" si="6"/>
        <v>203536.83912346256</v>
      </c>
      <c r="J31" s="9">
        <f t="shared" si="6"/>
        <v>180506.78581618392</v>
      </c>
      <c r="K31" s="9">
        <f t="shared" si="6"/>
        <v>155749.47851085942</v>
      </c>
      <c r="L31" s="9">
        <f t="shared" si="6"/>
        <v>129135.37315763555</v>
      </c>
    </row>
  </sheetData>
  <sheetProtection sheet="1" objects="1" scenarios="1"/>
  <phoneticPr fontId="0" type="noConversion"/>
  <hyperlinks>
    <hyperlink ref="B3" location="'Input Value'!A1" display="BACK TO INPUTS"/>
    <hyperlink ref="B4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E5" sqref="E5"/>
    </sheetView>
  </sheetViews>
  <sheetFormatPr defaultRowHeight="13.2" x14ac:dyDescent="0.25"/>
  <cols>
    <col min="1" max="1" width="1" customWidth="1"/>
    <col min="2" max="2" width="23.33203125" customWidth="1"/>
    <col min="3" max="3" width="0.109375" customWidth="1"/>
    <col min="4" max="4" width="12.44140625" customWidth="1"/>
    <col min="5" max="5" width="21.6640625" customWidth="1"/>
    <col min="6" max="13" width="14.109375" bestFit="1" customWidth="1"/>
    <col min="14" max="14" width="14.109375" style="3" bestFit="1" customWidth="1"/>
  </cols>
  <sheetData>
    <row r="1" spans="2:14" ht="6" customHeight="1" thickBot="1" x14ac:dyDescent="0.3"/>
    <row r="2" spans="2:14" ht="13.8" thickBot="1" x14ac:dyDescent="0.3">
      <c r="B2" s="52" t="s">
        <v>183</v>
      </c>
      <c r="C2" s="51"/>
      <c r="D2" t="s">
        <v>370</v>
      </c>
      <c r="F2">
        <v>1</v>
      </c>
    </row>
    <row r="3" spans="2:14" ht="13.8" thickBot="1" x14ac:dyDescent="0.3">
      <c r="B3" s="204" t="s">
        <v>182</v>
      </c>
      <c r="C3" s="205"/>
      <c r="E3" s="4">
        <f>'Farmer Information'!$B$12*'Farmer Information'!C$22*$F$2</f>
        <v>36354.166666666664</v>
      </c>
      <c r="F3" s="4">
        <f>+Efficiency!$H$10*$F$2</f>
        <v>48877.714285714283</v>
      </c>
    </row>
    <row r="4" spans="2:14" ht="13.8" thickBot="1" x14ac:dyDescent="0.3">
      <c r="B4" s="206" t="s">
        <v>177</v>
      </c>
      <c r="C4" s="207"/>
      <c r="E4" t="s">
        <v>289</v>
      </c>
      <c r="H4" s="4">
        <f>'Input Value'!$I$6</f>
        <v>0</v>
      </c>
    </row>
    <row r="5" spans="2:14" x14ac:dyDescent="0.25">
      <c r="B5" s="1" t="s">
        <v>354</v>
      </c>
      <c r="E5" s="4">
        <f>+Efficiency!$H$10</f>
        <v>48877.714285714283</v>
      </c>
      <c r="F5" s="4">
        <f>+Efficiency!$H$10</f>
        <v>48877.714285714283</v>
      </c>
      <c r="G5" s="4">
        <f>+Efficiency!$H$10</f>
        <v>48877.714285714283</v>
      </c>
      <c r="H5" s="4">
        <f>+Efficiency!$H$10</f>
        <v>48877.714285714283</v>
      </c>
      <c r="I5" s="4">
        <f>+Efficiency!$H$10</f>
        <v>48877.714285714283</v>
      </c>
      <c r="J5" s="4">
        <f>+Efficiency!$H$10</f>
        <v>48877.714285714283</v>
      </c>
      <c r="K5" s="4">
        <f>+Efficiency!$H$10</f>
        <v>48877.714285714283</v>
      </c>
      <c r="L5" s="4">
        <f>+Efficiency!$H$10</f>
        <v>48877.714285714283</v>
      </c>
      <c r="M5" s="4">
        <f>+Efficiency!$H$10</f>
        <v>48877.714285714283</v>
      </c>
      <c r="N5" s="4">
        <f>+Efficiency!$H$10</f>
        <v>48877.714285714283</v>
      </c>
    </row>
    <row r="6" spans="2:14" x14ac:dyDescent="0.25">
      <c r="B6" s="1" t="s">
        <v>472</v>
      </c>
      <c r="E6" s="4">
        <f>+(E5*Efficiency!$E$16)/2000</f>
        <v>39684.048979591833</v>
      </c>
      <c r="F6" s="4">
        <f>+(F5*Efficiency!$E$16)/2000</f>
        <v>39684.048979591833</v>
      </c>
      <c r="G6" s="4">
        <f>+(G5*Efficiency!$E$16)/2000</f>
        <v>39684.048979591833</v>
      </c>
      <c r="H6" s="4">
        <f>+(H5*Efficiency!$E$16)/2000</f>
        <v>39684.048979591833</v>
      </c>
      <c r="I6" s="4">
        <f>+(I5*Efficiency!$E$16)/2000</f>
        <v>39684.048979591833</v>
      </c>
      <c r="J6" s="4">
        <f>+(J5*Efficiency!$E$16)/2000</f>
        <v>39684.048979591833</v>
      </c>
      <c r="K6" s="4">
        <f>+(K5*Efficiency!$E$16)/2000</f>
        <v>39684.048979591833</v>
      </c>
      <c r="L6" s="4">
        <f>+(L5*Efficiency!$E$16)/2000</f>
        <v>39684.048979591833</v>
      </c>
      <c r="M6" s="4">
        <f>+(M5*Efficiency!$E$16)/2000</f>
        <v>39684.048979591833</v>
      </c>
      <c r="N6" s="4">
        <f>+(N5*Efficiency!$E$16)/2000</f>
        <v>39684.048979591833</v>
      </c>
    </row>
    <row r="7" spans="2:14" x14ac:dyDescent="0.25">
      <c r="B7" s="1" t="s">
        <v>353</v>
      </c>
      <c r="E7" s="4">
        <f>+E5/Efficiency!$B$22</f>
        <v>3093.798178963893</v>
      </c>
      <c r="F7" s="4">
        <f>+F5/Efficiency!$B$22</f>
        <v>3093.798178963893</v>
      </c>
      <c r="G7" s="4">
        <f>+G5/Efficiency!$B$22</f>
        <v>3093.798178963893</v>
      </c>
      <c r="H7" s="4">
        <f>+H5/Efficiency!$B$22</f>
        <v>3093.798178963893</v>
      </c>
      <c r="I7" s="4">
        <f>+I5/Efficiency!$B$22</f>
        <v>3093.798178963893</v>
      </c>
      <c r="J7" s="4">
        <f>+J5/Efficiency!$B$22</f>
        <v>3093.798178963893</v>
      </c>
      <c r="K7" s="4">
        <f>+K5/Efficiency!$B$22</f>
        <v>3093.798178963893</v>
      </c>
      <c r="L7" s="4">
        <f>+L5/Efficiency!$B$22</f>
        <v>3093.798178963893</v>
      </c>
      <c r="M7" s="4">
        <f>+M5/Efficiency!$B$22</f>
        <v>3093.798178963893</v>
      </c>
      <c r="N7" s="4">
        <f>+N5/Efficiency!$B$22</f>
        <v>3093.798178963893</v>
      </c>
    </row>
    <row r="8" spans="2:14" x14ac:dyDescent="0.25">
      <c r="B8" s="1" t="s">
        <v>358</v>
      </c>
      <c r="E8" s="4">
        <f>E5*(Efficiency!$E17)/2000</f>
        <v>18445.518367346944</v>
      </c>
      <c r="F8" s="4">
        <f>F5*(Efficiency!$E17)/2000</f>
        <v>18445.518367346944</v>
      </c>
      <c r="G8" s="4">
        <f>G5*(Efficiency!$E17)/2000</f>
        <v>18445.518367346944</v>
      </c>
      <c r="H8" s="4">
        <f>H5*(Efficiency!$E17)/2000</f>
        <v>18445.518367346944</v>
      </c>
      <c r="I8" s="4">
        <f>I5*(Efficiency!$E17)/2000</f>
        <v>18445.518367346944</v>
      </c>
      <c r="J8" s="4">
        <f>J5*(Efficiency!$E17)/2000</f>
        <v>18445.518367346944</v>
      </c>
      <c r="K8" s="4">
        <f>K5*(Efficiency!$E17)/2000</f>
        <v>18445.518367346944</v>
      </c>
      <c r="L8" s="4">
        <f>L5*(Efficiency!$E17)/2000</f>
        <v>18445.518367346944</v>
      </c>
      <c r="M8" s="4">
        <f>M5*(Efficiency!$E17)/2000</f>
        <v>18445.518367346944</v>
      </c>
      <c r="N8" s="4">
        <f>N5*(Efficiency!$E17)/2000</f>
        <v>18445.518367346944</v>
      </c>
    </row>
    <row r="9" spans="2:14" x14ac:dyDescent="0.25">
      <c r="D9" s="1"/>
      <c r="E9" s="2" t="s">
        <v>0</v>
      </c>
      <c r="F9" s="2" t="s">
        <v>1</v>
      </c>
      <c r="G9" s="2" t="s">
        <v>2</v>
      </c>
      <c r="H9" s="2" t="s">
        <v>3</v>
      </c>
      <c r="I9" s="2" t="s">
        <v>4</v>
      </c>
      <c r="J9" s="2" t="s">
        <v>5</v>
      </c>
      <c r="K9" s="2" t="s">
        <v>6</v>
      </c>
      <c r="L9" s="2" t="s">
        <v>7</v>
      </c>
      <c r="M9" s="2" t="s">
        <v>8</v>
      </c>
      <c r="N9" s="2" t="s">
        <v>9</v>
      </c>
    </row>
    <row r="10" spans="2:14" x14ac:dyDescent="0.25">
      <c r="B10" t="s">
        <v>260</v>
      </c>
      <c r="D10" s="4"/>
      <c r="E10" s="336">
        <f>+'Input Value'!$F$24*(E6*20)</f>
        <v>1785782.2040816327</v>
      </c>
      <c r="F10" s="336">
        <f>+'Input Value'!$F$24*(F6*20)</f>
        <v>1785782.2040816327</v>
      </c>
      <c r="G10" s="336">
        <f>+'Input Value'!$F$24*(G6*20)</f>
        <v>1785782.2040816327</v>
      </c>
      <c r="H10" s="336">
        <f>+'Input Value'!$F$24*(H6*20)</f>
        <v>1785782.2040816327</v>
      </c>
      <c r="I10" s="336">
        <f>+'Input Value'!$F$24*(I6*20)</f>
        <v>1785782.2040816327</v>
      </c>
      <c r="J10" s="336">
        <f>+'Input Value'!$F$24*(J6*20)</f>
        <v>1785782.2040816327</v>
      </c>
      <c r="K10" s="336">
        <f>+'Input Value'!$F$24*(K6*20)</f>
        <v>1785782.2040816327</v>
      </c>
      <c r="L10" s="336">
        <f>+'Input Value'!$F$24*(L6*20)</f>
        <v>1785782.2040816327</v>
      </c>
      <c r="M10" s="336">
        <f>+'Input Value'!$F$24*(M6*20)</f>
        <v>1785782.2040816327</v>
      </c>
      <c r="N10" s="336">
        <f>+'Input Value'!$F$24*(N6*20)</f>
        <v>1785782.2040816327</v>
      </c>
    </row>
    <row r="11" spans="2:14" x14ac:dyDescent="0.25">
      <c r="B11" t="s">
        <v>277</v>
      </c>
      <c r="D11" s="22"/>
      <c r="E11" s="336">
        <f>'Input Value'!$F$25*E5</f>
        <v>366582.8571428571</v>
      </c>
      <c r="F11" s="336">
        <f>'Input Value'!$F$25*F5</f>
        <v>366582.8571428571</v>
      </c>
      <c r="G11" s="336">
        <f>'Input Value'!$F$25*G5</f>
        <v>366582.8571428571</v>
      </c>
      <c r="H11" s="336">
        <f>'Input Value'!$F$25*H5</f>
        <v>366582.8571428571</v>
      </c>
      <c r="I11" s="336">
        <f>'Input Value'!$F$25*I5</f>
        <v>366582.8571428571</v>
      </c>
      <c r="J11" s="336">
        <f>'Input Value'!$F$25*J5</f>
        <v>366582.8571428571</v>
      </c>
      <c r="K11" s="336">
        <f>'Input Value'!$F$25*K5</f>
        <v>366582.8571428571</v>
      </c>
      <c r="L11" s="336">
        <f>'Input Value'!$F$25*L5</f>
        <v>366582.8571428571</v>
      </c>
      <c r="M11" s="336">
        <f>'Input Value'!$F$25*M5</f>
        <v>366582.8571428571</v>
      </c>
      <c r="N11" s="336">
        <f>'Input Value'!$F$25*N5</f>
        <v>366582.8571428571</v>
      </c>
    </row>
    <row r="12" spans="2:14" x14ac:dyDescent="0.25">
      <c r="B12" t="s">
        <v>261</v>
      </c>
      <c r="D12" s="5"/>
      <c r="E12" s="337">
        <f>'Input Value'!$F$26*E5</f>
        <v>391021.71428571426</v>
      </c>
      <c r="F12" s="337">
        <f>'Input Value'!$F$26*F5</f>
        <v>391021.71428571426</v>
      </c>
      <c r="G12" s="337">
        <f>'Input Value'!$F$26*G5</f>
        <v>391021.71428571426</v>
      </c>
      <c r="H12" s="337">
        <f>'Input Value'!$F$26*H5</f>
        <v>391021.71428571426</v>
      </c>
      <c r="I12" s="337">
        <f>'Input Value'!$F$26*I5</f>
        <v>391021.71428571426</v>
      </c>
      <c r="J12" s="337">
        <f>'Input Value'!$F$26*J5</f>
        <v>391021.71428571426</v>
      </c>
      <c r="K12" s="337">
        <f>'Input Value'!$F$26*K5</f>
        <v>391021.71428571426</v>
      </c>
      <c r="L12" s="337">
        <f>'Input Value'!$F$26*L5</f>
        <v>391021.71428571426</v>
      </c>
      <c r="M12" s="337">
        <f>'Input Value'!$F$26*M5</f>
        <v>391021.71428571426</v>
      </c>
      <c r="N12" s="337">
        <f>'Input Value'!$F$26*N5</f>
        <v>391021.71428571426</v>
      </c>
    </row>
    <row r="13" spans="2:14" x14ac:dyDescent="0.25">
      <c r="B13" s="278" t="s">
        <v>263</v>
      </c>
      <c r="C13" s="278"/>
      <c r="D13" s="278"/>
      <c r="E13" s="337">
        <f>'Input Value'!$F32*E8</f>
        <v>2582372.5714285723</v>
      </c>
      <c r="F13" s="337">
        <f>'Input Value'!$F32*F8</f>
        <v>2582372.5714285723</v>
      </c>
      <c r="G13" s="337">
        <f>'Input Value'!$F32*G8</f>
        <v>2582372.5714285723</v>
      </c>
      <c r="H13" s="337">
        <f>'Input Value'!$F32*H8</f>
        <v>2582372.5714285723</v>
      </c>
      <c r="I13" s="337">
        <f>'Input Value'!$F32*I8</f>
        <v>2582372.5714285723</v>
      </c>
      <c r="J13" s="337">
        <f>'Input Value'!$F32*J8</f>
        <v>2582372.5714285723</v>
      </c>
      <c r="K13" s="337">
        <f>'Input Value'!$F32*K8</f>
        <v>2582372.5714285723</v>
      </c>
      <c r="L13" s="337">
        <f>'Input Value'!$F32*L8</f>
        <v>2582372.5714285723</v>
      </c>
      <c r="M13" s="337">
        <f>'Input Value'!$F32*M8</f>
        <v>2582372.5714285723</v>
      </c>
      <c r="N13" s="337">
        <f>'Input Value'!$F32*N8</f>
        <v>2582372.5714285723</v>
      </c>
    </row>
    <row r="14" spans="2:14" x14ac:dyDescent="0.25">
      <c r="B14" s="278" t="s">
        <v>262</v>
      </c>
      <c r="C14" s="278"/>
      <c r="D14" s="278"/>
      <c r="E14" s="336">
        <f>'Input Value'!$F$28*E7</f>
        <v>170158.89984301411</v>
      </c>
      <c r="F14" s="336">
        <f>'Input Value'!$F$28*F7</f>
        <v>170158.89984301411</v>
      </c>
      <c r="G14" s="336">
        <f>'Input Value'!$F$28*G7</f>
        <v>170158.89984301411</v>
      </c>
      <c r="H14" s="336">
        <f>'Input Value'!$F$28*H7</f>
        <v>170158.89984301411</v>
      </c>
      <c r="I14" s="336">
        <f>'Input Value'!$F$28*I7</f>
        <v>170158.89984301411</v>
      </c>
      <c r="J14" s="336">
        <f>'Input Value'!$F$28*J7</f>
        <v>170158.89984301411</v>
      </c>
      <c r="K14" s="336">
        <f>'Input Value'!$F$28*K7</f>
        <v>170158.89984301411</v>
      </c>
      <c r="L14" s="336">
        <f>'Input Value'!$F$28*L7</f>
        <v>170158.89984301411</v>
      </c>
      <c r="M14" s="336">
        <f>'Input Value'!$F$28*M7</f>
        <v>170158.89984301411</v>
      </c>
      <c r="N14" s="336">
        <f>'Input Value'!$F$28*N7</f>
        <v>170158.89984301411</v>
      </c>
    </row>
    <row r="15" spans="2:14" x14ac:dyDescent="0.25">
      <c r="B15" s="278" t="s">
        <v>356</v>
      </c>
      <c r="E15" s="7">
        <f>+'Input Value'!$F$30*E5</f>
        <v>171072</v>
      </c>
      <c r="F15" s="7">
        <f>+'Input Value'!$F$30*F5</f>
        <v>171072</v>
      </c>
      <c r="G15" s="7">
        <f>+'Input Value'!$F$30*G5</f>
        <v>171072</v>
      </c>
      <c r="H15" s="7">
        <f>+'Input Value'!$F$30*H5</f>
        <v>171072</v>
      </c>
      <c r="I15" s="7">
        <f>+'Input Value'!$F$30*I5</f>
        <v>171072</v>
      </c>
      <c r="J15" s="7">
        <f>+'Input Value'!$F$30*J5</f>
        <v>171072</v>
      </c>
      <c r="K15" s="7">
        <f>+'Input Value'!$F$30*K5</f>
        <v>171072</v>
      </c>
      <c r="L15" s="7">
        <f>+'Input Value'!$F$30*L5</f>
        <v>171072</v>
      </c>
      <c r="M15" s="7">
        <f>+'Input Value'!$F$30*M5</f>
        <v>171072</v>
      </c>
      <c r="N15" s="7">
        <f>+'Input Value'!$F$30*N5</f>
        <v>171072</v>
      </c>
    </row>
    <row r="16" spans="2:14" x14ac:dyDescent="0.25">
      <c r="B16" s="278" t="s">
        <v>355</v>
      </c>
      <c r="E16" s="7">
        <f>'Input Value'!$F$31*E5</f>
        <v>488777.14285714284</v>
      </c>
      <c r="F16" s="7">
        <f>'Input Value'!$F$31*F5</f>
        <v>488777.14285714284</v>
      </c>
      <c r="G16" s="7">
        <f>'Input Value'!$F$31*G5</f>
        <v>488777.14285714284</v>
      </c>
      <c r="H16" s="7">
        <f>'Input Value'!$F$31*H5</f>
        <v>488777.14285714284</v>
      </c>
      <c r="I16" s="7">
        <f>'Input Value'!$F$31*I5</f>
        <v>488777.14285714284</v>
      </c>
      <c r="J16" s="7">
        <f>'Input Value'!$F$31*J5</f>
        <v>488777.14285714284</v>
      </c>
      <c r="K16" s="7">
        <f>'Input Value'!$F$31*K5</f>
        <v>488777.14285714284</v>
      </c>
      <c r="L16" s="7">
        <f>'Input Value'!$F$31*L5</f>
        <v>488777.14285714284</v>
      </c>
      <c r="M16" s="7">
        <f>'Input Value'!$F$31*M5</f>
        <v>488777.14285714284</v>
      </c>
      <c r="N16" s="7">
        <f>'Input Value'!$F$31*N5</f>
        <v>488777.14285714284</v>
      </c>
    </row>
    <row r="17" spans="2:14" x14ac:dyDescent="0.25">
      <c r="B17" s="1" t="s">
        <v>318</v>
      </c>
      <c r="C17" s="15"/>
      <c r="D17" s="12"/>
      <c r="E17" s="12">
        <f t="shared" ref="E17:N17" si="0">SUM(E10:E16)</f>
        <v>5955767.3896389324</v>
      </c>
      <c r="F17" s="12">
        <f t="shared" si="0"/>
        <v>5955767.3896389324</v>
      </c>
      <c r="G17" s="12">
        <f t="shared" si="0"/>
        <v>5955767.3896389324</v>
      </c>
      <c r="H17" s="12">
        <f t="shared" si="0"/>
        <v>5955767.3896389324</v>
      </c>
      <c r="I17" s="12">
        <f t="shared" si="0"/>
        <v>5955767.3896389324</v>
      </c>
      <c r="J17" s="12">
        <f t="shared" si="0"/>
        <v>5955767.3896389324</v>
      </c>
      <c r="K17" s="12">
        <f t="shared" si="0"/>
        <v>5955767.3896389324</v>
      </c>
      <c r="L17" s="12">
        <f t="shared" si="0"/>
        <v>5955767.3896389324</v>
      </c>
      <c r="M17" s="12">
        <f t="shared" si="0"/>
        <v>5955767.3896389324</v>
      </c>
      <c r="N17" s="12">
        <f t="shared" si="0"/>
        <v>5955767.3896389324</v>
      </c>
    </row>
    <row r="19" spans="2:14" x14ac:dyDescent="0.25">
      <c r="B19" s="279"/>
      <c r="E19" s="293"/>
      <c r="F19" s="293"/>
      <c r="G19" s="293"/>
      <c r="H19" s="293"/>
      <c r="I19" s="293"/>
      <c r="J19" s="293"/>
      <c r="K19" s="293"/>
      <c r="L19" s="293"/>
      <c r="M19" s="293"/>
      <c r="N19" s="293"/>
    </row>
    <row r="20" spans="2:14" x14ac:dyDescent="0.25"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3"/>
    </row>
    <row r="22" spans="2:14" x14ac:dyDescent="0.25">
      <c r="B22" s="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4"/>
    </row>
    <row r="23" spans="2:14" x14ac:dyDescent="0.25">
      <c r="N23" s="13"/>
    </row>
    <row r="24" spans="2:14" x14ac:dyDescent="0.25">
      <c r="B24" s="1"/>
      <c r="N24" s="13"/>
    </row>
    <row r="25" spans="2:14" x14ac:dyDescent="0.25">
      <c r="B25" s="18"/>
      <c r="C25" s="343"/>
      <c r="D25" s="343"/>
      <c r="E25" s="4"/>
      <c r="F25" s="4"/>
      <c r="G25" s="4"/>
      <c r="H25" s="4"/>
      <c r="I25" s="4"/>
      <c r="J25" s="4"/>
      <c r="K25" s="4"/>
      <c r="L25" s="4"/>
      <c r="M25" s="4"/>
      <c r="N25" s="13"/>
    </row>
    <row r="26" spans="2:14" x14ac:dyDescent="0.25">
      <c r="B26" s="264"/>
      <c r="C26" s="303"/>
      <c r="D26" s="355"/>
      <c r="E26" s="15"/>
      <c r="F26" s="15"/>
      <c r="G26" s="15"/>
      <c r="H26" s="15"/>
      <c r="I26" s="15"/>
      <c r="J26" s="15"/>
      <c r="K26" s="15"/>
      <c r="L26" s="15"/>
      <c r="M26" s="15"/>
      <c r="N26" s="13"/>
    </row>
    <row r="27" spans="2:14" x14ac:dyDescent="0.25">
      <c r="B27" s="264"/>
      <c r="C27" s="305"/>
      <c r="D27" s="356"/>
      <c r="E27" s="6"/>
      <c r="F27" s="6"/>
      <c r="G27" s="6"/>
      <c r="H27" s="6"/>
      <c r="I27" s="6"/>
      <c r="J27" s="6"/>
      <c r="K27" s="6"/>
      <c r="L27" s="6"/>
      <c r="M27" s="6"/>
      <c r="N27" s="14"/>
    </row>
    <row r="28" spans="2:14" x14ac:dyDescent="0.25">
      <c r="B28" s="264"/>
      <c r="C28" s="16"/>
      <c r="D28" s="356"/>
      <c r="N28" s="14"/>
    </row>
    <row r="29" spans="2:14" x14ac:dyDescent="0.25">
      <c r="B29" s="264"/>
      <c r="C29" s="16"/>
      <c r="D29" s="356"/>
      <c r="E29" s="6"/>
      <c r="F29" s="6"/>
      <c r="G29" s="6"/>
      <c r="H29" s="6"/>
      <c r="I29" s="6"/>
      <c r="J29" s="6"/>
      <c r="K29" s="6"/>
      <c r="L29" s="6"/>
      <c r="M29" s="6"/>
    </row>
    <row r="30" spans="2:14" x14ac:dyDescent="0.25">
      <c r="B30" s="264"/>
      <c r="C30" s="16"/>
      <c r="D30" s="356"/>
    </row>
    <row r="31" spans="2:14" x14ac:dyDescent="0.25">
      <c r="B31" s="18"/>
      <c r="C31" s="16"/>
      <c r="D31" s="356"/>
    </row>
    <row r="32" spans="2:14" x14ac:dyDescent="0.25">
      <c r="B32" s="264"/>
      <c r="C32" s="16"/>
      <c r="D32" s="357"/>
      <c r="E32" s="19"/>
      <c r="F32" s="19"/>
      <c r="G32" s="19"/>
      <c r="H32" s="19"/>
      <c r="I32" s="19"/>
      <c r="J32" s="19"/>
      <c r="K32" s="19"/>
      <c r="L32" s="19"/>
      <c r="M32" s="19"/>
    </row>
    <row r="33" spans="2:13" x14ac:dyDescent="0.25">
      <c r="B33" s="315"/>
      <c r="C33" s="343"/>
      <c r="D33" s="357"/>
      <c r="E33" s="19"/>
      <c r="F33" s="19"/>
      <c r="G33" s="19"/>
      <c r="H33" s="19"/>
      <c r="I33" s="19"/>
      <c r="J33" s="19"/>
      <c r="K33" s="19"/>
      <c r="L33" s="19"/>
      <c r="M33" s="19"/>
    </row>
    <row r="34" spans="2:13" x14ac:dyDescent="0.25">
      <c r="B34" s="1"/>
      <c r="D34" s="7"/>
      <c r="E34" s="20"/>
      <c r="F34" s="20"/>
      <c r="G34" s="20"/>
      <c r="H34" s="20"/>
      <c r="I34" s="20"/>
      <c r="J34" s="20"/>
      <c r="K34" s="20"/>
      <c r="L34" s="20"/>
      <c r="M34" s="20"/>
    </row>
    <row r="37" spans="2:13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3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3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</row>
  </sheetData>
  <sheetProtection sheet="1"/>
  <phoneticPr fontId="0" type="noConversion"/>
  <hyperlinks>
    <hyperlink ref="B4" location="'Return On Investment'!A1" display="FORWARD TO RESULTS"/>
    <hyperlink ref="B3" location="'Input Value'!A1" display="BACK TO INPUTS"/>
  </hyperlink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workbookViewId="0">
      <selection activeCell="B11" sqref="B11"/>
    </sheetView>
  </sheetViews>
  <sheetFormatPr defaultColWidth="9.109375" defaultRowHeight="13.2" x14ac:dyDescent="0.25"/>
  <cols>
    <col min="1" max="1" width="1.6640625" style="29" customWidth="1"/>
    <col min="2" max="2" width="20" style="29" customWidth="1"/>
    <col min="3" max="3" width="21.6640625" style="29" customWidth="1"/>
    <col min="4" max="4" width="11.44140625" style="122" bestFit="1" customWidth="1"/>
    <col min="5" max="5" width="11.44140625" style="122" customWidth="1"/>
    <col min="6" max="7" width="11" style="122" customWidth="1"/>
    <col min="8" max="8" width="12.6640625" style="122" customWidth="1"/>
    <col min="9" max="9" width="11.6640625" style="29" customWidth="1"/>
    <col min="10" max="10" width="12" style="29" customWidth="1"/>
    <col min="11" max="11" width="10.109375" style="29" customWidth="1"/>
    <col min="12" max="13" width="10.5546875" style="29" customWidth="1"/>
    <col min="14" max="14" width="10.33203125" style="29" customWidth="1"/>
    <col min="15" max="15" width="11.33203125" style="29" customWidth="1"/>
    <col min="16" max="16384" width="9.109375" style="29"/>
  </cols>
  <sheetData>
    <row r="1" spans="2:11" ht="6.75" customHeight="1" thickBot="1" x14ac:dyDescent="0.3"/>
    <row r="2" spans="2:11" ht="13.8" thickBot="1" x14ac:dyDescent="0.3">
      <c r="B2" s="505" t="s">
        <v>183</v>
      </c>
      <c r="C2" s="506"/>
      <c r="D2" s="507"/>
      <c r="E2" s="349"/>
    </row>
    <row r="3" spans="2:11" ht="13.8" thickBot="1" x14ac:dyDescent="0.3">
      <c r="B3" s="508" t="s">
        <v>182</v>
      </c>
      <c r="C3" s="509"/>
      <c r="D3" s="510"/>
      <c r="E3" s="433"/>
    </row>
    <row r="4" spans="2:11" ht="13.8" thickBot="1" x14ac:dyDescent="0.3">
      <c r="B4" s="508" t="s">
        <v>177</v>
      </c>
      <c r="C4" s="509"/>
      <c r="D4" s="510"/>
      <c r="E4" s="433"/>
    </row>
    <row r="6" spans="2:11" x14ac:dyDescent="0.25">
      <c r="B6" s="106" t="s">
        <v>107</v>
      </c>
      <c r="C6" s="106"/>
      <c r="I6" s="29" t="s">
        <v>60</v>
      </c>
      <c r="J6" s="122">
        <f>I17+P29+J35+J45</f>
        <v>613160</v>
      </c>
    </row>
    <row r="7" spans="2:11" x14ac:dyDescent="0.25">
      <c r="B7" s="106" t="s">
        <v>108</v>
      </c>
      <c r="C7" s="106"/>
    </row>
    <row r="8" spans="2:11" x14ac:dyDescent="0.25">
      <c r="B8" s="106"/>
      <c r="C8" s="106"/>
    </row>
    <row r="9" spans="2:11" x14ac:dyDescent="0.25">
      <c r="B9" s="311" t="s">
        <v>315</v>
      </c>
      <c r="C9" s="106"/>
    </row>
    <row r="11" spans="2:11" x14ac:dyDescent="0.25">
      <c r="B11" s="223" t="s">
        <v>27</v>
      </c>
      <c r="C11" s="272" t="s">
        <v>249</v>
      </c>
      <c r="D11" s="224" t="s">
        <v>28</v>
      </c>
      <c r="E11" s="224" t="s">
        <v>404</v>
      </c>
      <c r="F11" s="224" t="s">
        <v>30</v>
      </c>
      <c r="G11" s="224" t="s">
        <v>99</v>
      </c>
      <c r="H11" s="224" t="s">
        <v>29</v>
      </c>
      <c r="I11" s="225" t="s">
        <v>52</v>
      </c>
    </row>
    <row r="12" spans="2:11" x14ac:dyDescent="0.25">
      <c r="B12" s="226"/>
      <c r="C12" s="36"/>
      <c r="D12" s="227"/>
      <c r="E12" s="227"/>
      <c r="F12" s="227"/>
      <c r="G12" s="227"/>
      <c r="H12" s="36"/>
      <c r="I12" s="228"/>
    </row>
    <row r="13" spans="2:11" x14ac:dyDescent="0.25">
      <c r="B13" s="271" t="s">
        <v>132</v>
      </c>
      <c r="C13" s="290">
        <v>1</v>
      </c>
      <c r="D13" s="229">
        <v>60000</v>
      </c>
      <c r="E13" s="219">
        <f>+C13*D13</f>
        <v>60000</v>
      </c>
      <c r="F13" s="230">
        <f>+E13*'Input Value'!$C$20</f>
        <v>18000.000000000004</v>
      </c>
      <c r="G13" s="231">
        <v>0.04</v>
      </c>
      <c r="H13" s="230">
        <f>E13*G13</f>
        <v>2400</v>
      </c>
      <c r="I13" s="232">
        <f>(E13+F13+H13)</f>
        <v>80400</v>
      </c>
    </row>
    <row r="14" spans="2:11" x14ac:dyDescent="0.25">
      <c r="B14" s="233" t="s">
        <v>247</v>
      </c>
      <c r="C14" s="277">
        <v>2</v>
      </c>
      <c r="D14" s="229">
        <v>40000</v>
      </c>
      <c r="E14" s="219">
        <f>+C14*D14</f>
        <v>80000</v>
      </c>
      <c r="F14" s="230">
        <f>+E14*'Input Value'!$C$20</f>
        <v>24000.000000000004</v>
      </c>
      <c r="G14" s="231">
        <v>0.03</v>
      </c>
      <c r="H14" s="230">
        <f>E14*G14</f>
        <v>2400</v>
      </c>
      <c r="I14" s="232">
        <f>(E14+F14+H14)</f>
        <v>106400</v>
      </c>
    </row>
    <row r="15" spans="2:11" x14ac:dyDescent="0.25">
      <c r="B15" s="271" t="s">
        <v>248</v>
      </c>
      <c r="C15" s="290">
        <v>2</v>
      </c>
      <c r="D15" s="229">
        <v>30000</v>
      </c>
      <c r="E15" s="219">
        <f>+C15*D15</f>
        <v>60000</v>
      </c>
      <c r="F15" s="230">
        <f>+E15*'Input Value'!$C$20</f>
        <v>18000.000000000004</v>
      </c>
      <c r="G15" s="231">
        <v>0.01</v>
      </c>
      <c r="H15" s="230">
        <f>E15*G15</f>
        <v>600</v>
      </c>
      <c r="I15" s="232">
        <f>(E15+F15+H15)</f>
        <v>78600</v>
      </c>
      <c r="K15" s="63"/>
    </row>
    <row r="16" spans="2:11" x14ac:dyDescent="0.25">
      <c r="B16" s="239"/>
      <c r="C16" s="273"/>
      <c r="D16" s="219"/>
      <c r="E16" s="219"/>
      <c r="F16" s="45"/>
      <c r="G16" s="220"/>
      <c r="H16" s="63"/>
      <c r="I16" s="234"/>
      <c r="K16" s="63"/>
    </row>
    <row r="17" spans="2:17" x14ac:dyDescent="0.25">
      <c r="B17" s="240" t="s">
        <v>123</v>
      </c>
      <c r="C17" s="274">
        <v>5</v>
      </c>
      <c r="D17" s="241">
        <f>SUM(D13:D15)</f>
        <v>130000</v>
      </c>
      <c r="E17" s="241">
        <f>SUM(E13:E15)</f>
        <v>200000</v>
      </c>
      <c r="F17" s="217">
        <f>SUM(F13:F15)</f>
        <v>60000.000000000015</v>
      </c>
      <c r="G17" s="242"/>
      <c r="H17" s="217">
        <f>SUM(H13:H15)</f>
        <v>5400</v>
      </c>
      <c r="I17" s="243">
        <f>SUM(I13:I15)</f>
        <v>265400</v>
      </c>
      <c r="K17" s="63"/>
    </row>
    <row r="18" spans="2:17" x14ac:dyDescent="0.25">
      <c r="B18" s="244" t="s">
        <v>74</v>
      </c>
      <c r="C18" s="275"/>
      <c r="D18" s="235"/>
      <c r="E18" s="235"/>
      <c r="F18" s="236"/>
      <c r="G18" s="237"/>
      <c r="H18" s="222"/>
      <c r="I18" s="238"/>
      <c r="K18" s="63"/>
    </row>
    <row r="19" spans="2:17" x14ac:dyDescent="0.25">
      <c r="B19" s="218"/>
      <c r="C19" s="218"/>
      <c r="D19" s="219"/>
      <c r="E19" s="219"/>
      <c r="F19" s="45"/>
      <c r="G19" s="45"/>
      <c r="H19" s="220"/>
      <c r="I19" s="63"/>
      <c r="J19" s="45"/>
      <c r="K19" s="63"/>
    </row>
    <row r="20" spans="2:17" x14ac:dyDescent="0.25">
      <c r="B20" s="247" t="s">
        <v>27</v>
      </c>
      <c r="C20" s="272" t="s">
        <v>249</v>
      </c>
      <c r="D20" s="245" t="s">
        <v>406</v>
      </c>
      <c r="E20" s="224" t="s">
        <v>404</v>
      </c>
      <c r="F20" s="245" t="s">
        <v>30</v>
      </c>
      <c r="G20" s="224" t="s">
        <v>475</v>
      </c>
      <c r="H20" s="245" t="s">
        <v>99</v>
      </c>
      <c r="I20" s="245" t="s">
        <v>29</v>
      </c>
      <c r="J20" s="245" t="s">
        <v>208</v>
      </c>
      <c r="K20" s="245" t="s">
        <v>99</v>
      </c>
      <c r="L20" s="245" t="s">
        <v>29</v>
      </c>
      <c r="M20" s="248" t="s">
        <v>209</v>
      </c>
      <c r="N20" s="245" t="s">
        <v>99</v>
      </c>
      <c r="O20" s="245" t="s">
        <v>29</v>
      </c>
      <c r="P20" s="249" t="s">
        <v>252</v>
      </c>
      <c r="Q20" s="246"/>
    </row>
    <row r="21" spans="2:17" x14ac:dyDescent="0.25">
      <c r="B21" s="308" t="s">
        <v>301</v>
      </c>
      <c r="C21" s="290">
        <v>1</v>
      </c>
      <c r="D21" s="229">
        <v>12</v>
      </c>
      <c r="E21" s="219">
        <f>+(C21*D21)*Efficiency!H$11*G21</f>
        <v>21600</v>
      </c>
      <c r="F21" s="230">
        <f>+E21*'Input Value'!$C$20</f>
        <v>6480.0000000000009</v>
      </c>
      <c r="G21" s="286">
        <f>+J21+M21</f>
        <v>20</v>
      </c>
      <c r="H21" s="490">
        <f>AVERAGE(K21,N21)</f>
        <v>0</v>
      </c>
      <c r="I21" s="45">
        <f>L21+O21</f>
        <v>0</v>
      </c>
      <c r="J21" s="487">
        <v>10</v>
      </c>
      <c r="K21" s="291">
        <v>0</v>
      </c>
      <c r="L21" s="230">
        <f t="shared" ref="L21:L28" si="0">(K21*J21)*E21</f>
        <v>0</v>
      </c>
      <c r="M21" s="36">
        <v>10</v>
      </c>
      <c r="N21" s="291"/>
      <c r="O21" s="230">
        <f>(M21*N21)*E21</f>
        <v>0</v>
      </c>
      <c r="P21" s="232">
        <f>(E21+F21+I21)</f>
        <v>28080</v>
      </c>
    </row>
    <row r="22" spans="2:17" x14ac:dyDescent="0.25">
      <c r="B22" s="308" t="s">
        <v>302</v>
      </c>
      <c r="C22" s="290">
        <v>1</v>
      </c>
      <c r="D22" s="229">
        <v>12</v>
      </c>
      <c r="E22" s="219">
        <f>+(C22*D22)*Efficiency!H$11*G22</f>
        <v>21600</v>
      </c>
      <c r="F22" s="230">
        <f>+E22*'Input Value'!$C$20</f>
        <v>6480.0000000000009</v>
      </c>
      <c r="G22" s="286">
        <f t="shared" ref="G22:G28" si="1">+J22+M22</f>
        <v>20</v>
      </c>
      <c r="H22" s="490">
        <f>MIN(0,AVERAGE(K22,N22))</f>
        <v>0</v>
      </c>
      <c r="I22" s="45">
        <f t="shared" ref="I22:I28" si="2">L22+O22</f>
        <v>4320</v>
      </c>
      <c r="J22" s="487">
        <v>10</v>
      </c>
      <c r="K22" s="291">
        <v>0</v>
      </c>
      <c r="L22" s="230">
        <f t="shared" si="0"/>
        <v>0</v>
      </c>
      <c r="M22" s="36">
        <v>10</v>
      </c>
      <c r="N22" s="291">
        <v>0.02</v>
      </c>
      <c r="O22" s="230">
        <f>(M22*N22)*E22</f>
        <v>4320</v>
      </c>
      <c r="P22" s="232">
        <f t="shared" ref="P22:P28" si="3">(E22+F22+I22)</f>
        <v>32400</v>
      </c>
    </row>
    <row r="23" spans="2:17" x14ac:dyDescent="0.25">
      <c r="B23" s="308" t="s">
        <v>303</v>
      </c>
      <c r="C23" s="277">
        <v>3</v>
      </c>
      <c r="D23" s="229">
        <v>10</v>
      </c>
      <c r="E23" s="219">
        <f>+(C23*D23)*Efficiency!H$11*G23</f>
        <v>54000</v>
      </c>
      <c r="F23" s="230">
        <f>+E23*'Input Value'!$C$20</f>
        <v>16200.000000000002</v>
      </c>
      <c r="G23" s="286">
        <f t="shared" si="1"/>
        <v>20</v>
      </c>
      <c r="H23" s="490">
        <f t="shared" ref="H23:H28" si="4">MIN(0,AVERAGE(K23,N23))</f>
        <v>0</v>
      </c>
      <c r="I23" s="45">
        <f t="shared" si="2"/>
        <v>0</v>
      </c>
      <c r="J23" s="487">
        <v>10</v>
      </c>
      <c r="K23" s="291">
        <v>0</v>
      </c>
      <c r="L23" s="230">
        <f t="shared" si="0"/>
        <v>0</v>
      </c>
      <c r="M23" s="489">
        <v>10</v>
      </c>
      <c r="N23" s="291"/>
      <c r="O23" s="230">
        <f t="shared" ref="O23:O28" si="5">(M23*N23)*E23</f>
        <v>0</v>
      </c>
      <c r="P23" s="232">
        <f t="shared" si="3"/>
        <v>70200</v>
      </c>
    </row>
    <row r="24" spans="2:17" x14ac:dyDescent="0.25">
      <c r="B24" s="309" t="s">
        <v>304</v>
      </c>
      <c r="C24" s="277">
        <v>2</v>
      </c>
      <c r="D24" s="229">
        <v>10</v>
      </c>
      <c r="E24" s="219">
        <f>+(C24*D24)*Efficiency!H$11*G24</f>
        <v>36000</v>
      </c>
      <c r="F24" s="230">
        <f>+E24*'Input Value'!$C$20</f>
        <v>10800.000000000002</v>
      </c>
      <c r="G24" s="286">
        <f t="shared" si="1"/>
        <v>20</v>
      </c>
      <c r="H24" s="490">
        <f t="shared" si="4"/>
        <v>0</v>
      </c>
      <c r="I24" s="45">
        <f t="shared" si="2"/>
        <v>7200</v>
      </c>
      <c r="J24" s="488">
        <v>10</v>
      </c>
      <c r="K24" s="291">
        <v>0.02</v>
      </c>
      <c r="L24" s="230">
        <f t="shared" si="0"/>
        <v>7200</v>
      </c>
      <c r="M24" s="63">
        <v>10</v>
      </c>
      <c r="N24" s="291"/>
      <c r="O24" s="230">
        <f t="shared" si="5"/>
        <v>0</v>
      </c>
      <c r="P24" s="232">
        <f t="shared" si="3"/>
        <v>54000</v>
      </c>
    </row>
    <row r="25" spans="2:17" x14ac:dyDescent="0.25">
      <c r="B25" s="309" t="s">
        <v>305</v>
      </c>
      <c r="C25" s="277">
        <v>2</v>
      </c>
      <c r="D25" s="229">
        <v>10</v>
      </c>
      <c r="E25" s="219">
        <f>+(C25*D25)*Efficiency!H$11*G25</f>
        <v>36000</v>
      </c>
      <c r="F25" s="230">
        <f>+E25*'Input Value'!$C$20</f>
        <v>10800.000000000002</v>
      </c>
      <c r="G25" s="286">
        <f t="shared" si="1"/>
        <v>20</v>
      </c>
      <c r="H25" s="490">
        <f t="shared" si="4"/>
        <v>0</v>
      </c>
      <c r="I25" s="45">
        <f t="shared" si="2"/>
        <v>10800</v>
      </c>
      <c r="J25" s="488">
        <v>10</v>
      </c>
      <c r="K25" s="291">
        <v>0.03</v>
      </c>
      <c r="L25" s="230">
        <f t="shared" si="0"/>
        <v>10800</v>
      </c>
      <c r="M25" s="63">
        <v>10</v>
      </c>
      <c r="N25" s="291"/>
      <c r="O25" s="230">
        <f t="shared" si="5"/>
        <v>0</v>
      </c>
      <c r="P25" s="232">
        <f t="shared" si="3"/>
        <v>57600</v>
      </c>
    </row>
    <row r="26" spans="2:17" x14ac:dyDescent="0.25">
      <c r="B26" s="309" t="s">
        <v>306</v>
      </c>
      <c r="C26" s="277"/>
      <c r="D26" s="360"/>
      <c r="E26" s="219">
        <f>+(C26*D26)*Efficiency!H$11*G26</f>
        <v>0</v>
      </c>
      <c r="F26" s="230">
        <f>+E26*'Input Value'!$C$20</f>
        <v>0</v>
      </c>
      <c r="G26" s="286">
        <f t="shared" si="1"/>
        <v>0</v>
      </c>
      <c r="H26" s="490">
        <f t="shared" si="4"/>
        <v>0</v>
      </c>
      <c r="I26" s="45">
        <f t="shared" si="2"/>
        <v>0</v>
      </c>
      <c r="J26" s="36"/>
      <c r="K26" s="291">
        <v>0</v>
      </c>
      <c r="L26" s="230">
        <f t="shared" si="0"/>
        <v>0</v>
      </c>
      <c r="M26" s="36"/>
      <c r="N26" s="291"/>
      <c r="O26" s="230">
        <f t="shared" si="5"/>
        <v>0</v>
      </c>
      <c r="P26" s="232">
        <f t="shared" si="3"/>
        <v>0</v>
      </c>
    </row>
    <row r="27" spans="2:17" x14ac:dyDescent="0.25">
      <c r="B27" s="309"/>
      <c r="C27" s="277"/>
      <c r="D27" s="360"/>
      <c r="E27" s="219">
        <f>+(C27*D27)*Efficiency!H$11*G27</f>
        <v>0</v>
      </c>
      <c r="F27" s="230">
        <f>+E27*'Input Value'!$C$20</f>
        <v>0</v>
      </c>
      <c r="G27" s="286">
        <f t="shared" si="1"/>
        <v>0</v>
      </c>
      <c r="H27" s="490">
        <f t="shared" si="4"/>
        <v>0</v>
      </c>
      <c r="I27" s="45">
        <f t="shared" si="2"/>
        <v>0</v>
      </c>
      <c r="J27" s="36"/>
      <c r="K27" s="291">
        <v>0</v>
      </c>
      <c r="L27" s="230">
        <f t="shared" si="0"/>
        <v>0</v>
      </c>
      <c r="M27" s="36"/>
      <c r="N27" s="291"/>
      <c r="O27" s="230">
        <f t="shared" si="5"/>
        <v>0</v>
      </c>
      <c r="P27" s="232">
        <f t="shared" si="3"/>
        <v>0</v>
      </c>
    </row>
    <row r="28" spans="2:17" x14ac:dyDescent="0.25">
      <c r="B28" s="250"/>
      <c r="C28" s="361"/>
      <c r="D28" s="362"/>
      <c r="E28" s="219">
        <f>+(C28*D28)*Efficiency!H$11*G28</f>
        <v>0</v>
      </c>
      <c r="F28" s="230">
        <f>+E28*'Input Value'!$C$20</f>
        <v>0</v>
      </c>
      <c r="G28" s="286">
        <f t="shared" si="1"/>
        <v>0</v>
      </c>
      <c r="H28" s="490">
        <f t="shared" si="4"/>
        <v>0</v>
      </c>
      <c r="I28" s="45">
        <f t="shared" si="2"/>
        <v>0</v>
      </c>
      <c r="J28" s="169"/>
      <c r="K28" s="292">
        <v>0</v>
      </c>
      <c r="L28" s="230">
        <f t="shared" si="0"/>
        <v>0</v>
      </c>
      <c r="M28" s="169"/>
      <c r="N28" s="292"/>
      <c r="O28" s="230">
        <f t="shared" si="5"/>
        <v>0</v>
      </c>
      <c r="P28" s="232">
        <f t="shared" si="3"/>
        <v>0</v>
      </c>
    </row>
    <row r="29" spans="2:17" x14ac:dyDescent="0.25">
      <c r="B29" s="253" t="s">
        <v>210</v>
      </c>
      <c r="C29" s="46">
        <v>10</v>
      </c>
      <c r="D29" s="251">
        <f>SUM(D21:D26)</f>
        <v>54</v>
      </c>
      <c r="E29" s="326">
        <f>SUM(E21:E26)</f>
        <v>169200</v>
      </c>
      <c r="F29" s="251">
        <f>SUM(F21:F26)</f>
        <v>50760.000000000007</v>
      </c>
      <c r="G29" s="251"/>
      <c r="H29" s="251"/>
      <c r="I29" s="328">
        <f>SUM(I21:I26)</f>
        <v>22320</v>
      </c>
      <c r="J29" s="169"/>
      <c r="K29" s="169"/>
      <c r="L29" s="328">
        <f>SUM(L21:L26)</f>
        <v>18000</v>
      </c>
      <c r="M29" s="169"/>
      <c r="N29" s="169"/>
      <c r="O29" s="328">
        <f>SUM(O21:O26)</f>
        <v>4320</v>
      </c>
      <c r="P29" s="325">
        <f>SUM(P21:P28)</f>
        <v>242280</v>
      </c>
    </row>
    <row r="31" spans="2:17" x14ac:dyDescent="0.25">
      <c r="B31" s="223" t="s">
        <v>27</v>
      </c>
      <c r="C31" s="272" t="s">
        <v>249</v>
      </c>
      <c r="D31" s="224" t="s">
        <v>28</v>
      </c>
      <c r="E31" s="224" t="s">
        <v>404</v>
      </c>
      <c r="F31" s="224" t="s">
        <v>30</v>
      </c>
      <c r="G31" s="224" t="s">
        <v>475</v>
      </c>
      <c r="H31" s="224" t="s">
        <v>99</v>
      </c>
      <c r="I31" s="224" t="s">
        <v>29</v>
      </c>
      <c r="J31" s="225" t="s">
        <v>52</v>
      </c>
    </row>
    <row r="32" spans="2:17" x14ac:dyDescent="0.25">
      <c r="B32" s="309" t="s">
        <v>307</v>
      </c>
      <c r="C32" s="79">
        <v>1</v>
      </c>
      <c r="D32" s="215">
        <v>10</v>
      </c>
      <c r="E32" s="219">
        <f>+(C32*D32)*Efficiency!H$11*G32</f>
        <v>9000</v>
      </c>
      <c r="F32" s="230">
        <f>+E32*'Input Value'!$C$20</f>
        <v>2700.0000000000005</v>
      </c>
      <c r="G32" s="437">
        <v>10</v>
      </c>
      <c r="H32" s="231">
        <v>0.02</v>
      </c>
      <c r="I32" s="221">
        <f>E32*H32</f>
        <v>180</v>
      </c>
      <c r="J32" s="434">
        <f>(E32+F32)</f>
        <v>11700</v>
      </c>
    </row>
    <row r="33" spans="2:10" x14ac:dyDescent="0.25">
      <c r="B33" s="226"/>
      <c r="C33" s="36">
        <v>1</v>
      </c>
      <c r="D33" s="215">
        <v>10</v>
      </c>
      <c r="E33" s="219">
        <f>+(C33*D33)*Efficiency!H$11*G33</f>
        <v>9000</v>
      </c>
      <c r="F33" s="230">
        <f>+E33*'Input Value'!$C$20</f>
        <v>2700.0000000000005</v>
      </c>
      <c r="G33" s="437">
        <v>10</v>
      </c>
      <c r="H33" s="231">
        <v>0.02</v>
      </c>
      <c r="I33" s="221">
        <f>E33*H33</f>
        <v>180</v>
      </c>
      <c r="J33" s="434">
        <f>(E33+F33)</f>
        <v>11700</v>
      </c>
    </row>
    <row r="34" spans="2:10" x14ac:dyDescent="0.25">
      <c r="B34" s="226"/>
      <c r="C34" s="36"/>
      <c r="D34" s="215"/>
      <c r="E34" s="219">
        <f>+(C34*D34)*Efficiency!H$11*G34</f>
        <v>0</v>
      </c>
      <c r="F34" s="230">
        <f>+E34*'Input Value'!$C$20</f>
        <v>0</v>
      </c>
      <c r="G34" s="437">
        <v>10</v>
      </c>
      <c r="H34" s="231"/>
      <c r="I34" s="221">
        <f>E34*H34</f>
        <v>0</v>
      </c>
      <c r="J34" s="434">
        <f>(E34+F34)</f>
        <v>0</v>
      </c>
    </row>
    <row r="35" spans="2:10" x14ac:dyDescent="0.25">
      <c r="B35" s="313" t="s">
        <v>210</v>
      </c>
      <c r="C35" s="276">
        <v>2</v>
      </c>
      <c r="D35" s="327">
        <f>SUM(D32:D33)</f>
        <v>20</v>
      </c>
      <c r="E35" s="438">
        <f>SUM(E32:E33)</f>
        <v>18000</v>
      </c>
      <c r="F35" s="252">
        <f>SUM(F32:F33)</f>
        <v>5400.0000000000009</v>
      </c>
      <c r="H35" s="252"/>
      <c r="I35" s="252">
        <f>SUM(I32:I34)</f>
        <v>360</v>
      </c>
      <c r="J35" s="323">
        <f>SUM(J32:J34)</f>
        <v>23400</v>
      </c>
    </row>
    <row r="36" spans="2:10" x14ac:dyDescent="0.25">
      <c r="I36" s="122"/>
    </row>
    <row r="37" spans="2:10" x14ac:dyDescent="0.25">
      <c r="B37" s="106" t="s">
        <v>314</v>
      </c>
      <c r="C37" s="310"/>
      <c r="D37" s="110"/>
      <c r="E37" s="110"/>
      <c r="F37" s="110"/>
      <c r="H37" s="110"/>
      <c r="I37" s="110"/>
      <c r="J37" s="110"/>
    </row>
    <row r="38" spans="2:10" x14ac:dyDescent="0.25">
      <c r="B38" s="223" t="s">
        <v>27</v>
      </c>
      <c r="C38" s="272" t="s">
        <v>249</v>
      </c>
      <c r="D38" s="224" t="s">
        <v>28</v>
      </c>
      <c r="E38" s="224" t="s">
        <v>404</v>
      </c>
      <c r="F38" s="224" t="s">
        <v>30</v>
      </c>
      <c r="G38" s="224" t="s">
        <v>475</v>
      </c>
      <c r="H38" s="224" t="s">
        <v>99</v>
      </c>
      <c r="I38" s="224" t="s">
        <v>29</v>
      </c>
      <c r="J38" s="225" t="s">
        <v>52</v>
      </c>
    </row>
    <row r="39" spans="2:10" x14ac:dyDescent="0.25">
      <c r="B39" s="309" t="s">
        <v>308</v>
      </c>
      <c r="C39" s="79">
        <v>1</v>
      </c>
      <c r="D39" s="215">
        <v>10</v>
      </c>
      <c r="E39" s="219">
        <f>+(C39*D39)*Efficiency!H$11*G39</f>
        <v>9000</v>
      </c>
      <c r="F39" s="230">
        <f>+E39*'Input Value'!$C$20</f>
        <v>2700.0000000000005</v>
      </c>
      <c r="G39" s="437">
        <v>10</v>
      </c>
      <c r="H39" s="231">
        <v>0.02</v>
      </c>
      <c r="I39" s="221">
        <f t="shared" ref="I39:I44" si="6">E39*H39</f>
        <v>180</v>
      </c>
      <c r="J39" s="232">
        <f t="shared" ref="J39:J44" si="7">(E39+F39+I39)</f>
        <v>11880</v>
      </c>
    </row>
    <row r="40" spans="2:10" x14ac:dyDescent="0.25">
      <c r="B40" s="226" t="s">
        <v>309</v>
      </c>
      <c r="C40" s="36">
        <v>1</v>
      </c>
      <c r="D40" s="215">
        <v>10</v>
      </c>
      <c r="E40" s="219">
        <f>+(C40*D40)*Efficiency!H$11*G40</f>
        <v>9000</v>
      </c>
      <c r="F40" s="230">
        <f>+E40*'Input Value'!$C$20</f>
        <v>2700.0000000000005</v>
      </c>
      <c r="G40" s="437">
        <v>10</v>
      </c>
      <c r="H40" s="231"/>
      <c r="I40" s="221">
        <f t="shared" si="6"/>
        <v>0</v>
      </c>
      <c r="J40" s="232">
        <f t="shared" si="7"/>
        <v>11700</v>
      </c>
    </row>
    <row r="41" spans="2:10" x14ac:dyDescent="0.25">
      <c r="B41" s="226" t="s">
        <v>310</v>
      </c>
      <c r="C41" s="36">
        <v>2</v>
      </c>
      <c r="D41" s="215">
        <v>10</v>
      </c>
      <c r="E41" s="219">
        <f>+(C41*D41)*Efficiency!H$11*G41</f>
        <v>18000</v>
      </c>
      <c r="F41" s="230">
        <f>+E41*'Input Value'!$C$20</f>
        <v>5400.0000000000009</v>
      </c>
      <c r="G41" s="437">
        <v>10</v>
      </c>
      <c r="H41" s="231"/>
      <c r="I41" s="221">
        <f t="shared" si="6"/>
        <v>0</v>
      </c>
      <c r="J41" s="232">
        <f t="shared" si="7"/>
        <v>23400</v>
      </c>
    </row>
    <row r="42" spans="2:10" x14ac:dyDescent="0.25">
      <c r="B42" s="226" t="s">
        <v>311</v>
      </c>
      <c r="C42" s="63">
        <v>1</v>
      </c>
      <c r="D42" s="215">
        <v>10</v>
      </c>
      <c r="E42" s="219">
        <f>+(C42*D42)*Efficiency!H$11*G42</f>
        <v>9000</v>
      </c>
      <c r="F42" s="230">
        <f>+E42*'Input Value'!$C$20</f>
        <v>2700.0000000000005</v>
      </c>
      <c r="G42" s="437">
        <v>10</v>
      </c>
      <c r="H42" s="231"/>
      <c r="I42" s="221">
        <f t="shared" si="6"/>
        <v>0</v>
      </c>
      <c r="J42" s="232">
        <f t="shared" si="7"/>
        <v>11700</v>
      </c>
    </row>
    <row r="43" spans="2:10" x14ac:dyDescent="0.25">
      <c r="B43" s="226" t="s">
        <v>312</v>
      </c>
      <c r="C43" s="63">
        <v>1</v>
      </c>
      <c r="D43" s="215">
        <v>10</v>
      </c>
      <c r="E43" s="219">
        <f>+(C43*D43)*Efficiency!H$11*G43</f>
        <v>9000</v>
      </c>
      <c r="F43" s="230">
        <f>+E43*'Input Value'!$C$20</f>
        <v>2700.0000000000005</v>
      </c>
      <c r="G43" s="437">
        <v>10</v>
      </c>
      <c r="H43" s="231"/>
      <c r="I43" s="221">
        <f t="shared" si="6"/>
        <v>0</v>
      </c>
      <c r="J43" s="232">
        <f t="shared" si="7"/>
        <v>11700</v>
      </c>
    </row>
    <row r="44" spans="2:10" x14ac:dyDescent="0.25">
      <c r="B44" s="250" t="s">
        <v>313</v>
      </c>
      <c r="C44" s="169">
        <v>1</v>
      </c>
      <c r="D44" s="364">
        <v>10</v>
      </c>
      <c r="E44" s="219">
        <f>+(C44*D44)*Efficiency!H$11*G44</f>
        <v>9000</v>
      </c>
      <c r="F44" s="230">
        <f>+E44*'Input Value'!$C$20</f>
        <v>2700.0000000000005</v>
      </c>
      <c r="G44" s="437">
        <v>10</v>
      </c>
      <c r="H44" s="363"/>
      <c r="I44" s="221">
        <f t="shared" si="6"/>
        <v>0</v>
      </c>
      <c r="J44" s="232">
        <f t="shared" si="7"/>
        <v>11700</v>
      </c>
    </row>
    <row r="45" spans="2:10" x14ac:dyDescent="0.25">
      <c r="B45" s="313" t="s">
        <v>252</v>
      </c>
      <c r="C45" s="312">
        <v>7</v>
      </c>
      <c r="D45" s="327">
        <f>SUM(D39:D44)</f>
        <v>60</v>
      </c>
      <c r="E45" s="438">
        <f>SUM(E39:E44)</f>
        <v>63000</v>
      </c>
      <c r="F45" s="252">
        <f>SUM(F39:F44)</f>
        <v>18900.000000000004</v>
      </c>
      <c r="H45" s="252"/>
      <c r="I45" s="252">
        <f>SUM(I39:I44)</f>
        <v>180</v>
      </c>
      <c r="J45" s="324">
        <f>SUM(J39:J44)</f>
        <v>82080</v>
      </c>
    </row>
  </sheetData>
  <sheetProtection scenarios="1"/>
  <mergeCells count="3">
    <mergeCell ref="B2:D2"/>
    <mergeCell ref="B3:D3"/>
    <mergeCell ref="B4:D4"/>
  </mergeCells>
  <phoneticPr fontId="0" type="noConversion"/>
  <hyperlinks>
    <hyperlink ref="B3" location="'Input Value'!A1" display="BACK TO INPUTS"/>
    <hyperlink ref="B4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4"/>
  <sheetViews>
    <sheetView topLeftCell="A73" workbookViewId="0">
      <selection activeCell="B35" sqref="B35:E77"/>
    </sheetView>
  </sheetViews>
  <sheetFormatPr defaultColWidth="9.109375" defaultRowHeight="13.2" x14ac:dyDescent="0.25"/>
  <cols>
    <col min="1" max="1" width="2" style="29" customWidth="1"/>
    <col min="2" max="2" width="19.5546875" style="106" customWidth="1"/>
    <col min="3" max="3" width="7.44140625" style="29" customWidth="1"/>
    <col min="4" max="4" width="12.33203125" style="29" bestFit="1" customWidth="1"/>
    <col min="5" max="5" width="14.88671875" style="29" customWidth="1"/>
    <col min="6" max="6" width="15.88671875" style="29" customWidth="1"/>
    <col min="7" max="12" width="14.109375" style="29" bestFit="1" customWidth="1"/>
    <col min="13" max="13" width="14.109375" style="112" bestFit="1" customWidth="1"/>
    <col min="14" max="14" width="14.109375" style="29" bestFit="1" customWidth="1"/>
    <col min="15" max="16384" width="9.109375" style="29"/>
  </cols>
  <sheetData>
    <row r="1" spans="2:18" ht="5.25" customHeight="1" thickBot="1" x14ac:dyDescent="0.3"/>
    <row r="2" spans="2:18" ht="13.8" thickBot="1" x14ac:dyDescent="0.3">
      <c r="B2" s="511" t="s">
        <v>183</v>
      </c>
      <c r="C2" s="512"/>
      <c r="D2" s="29" t="s">
        <v>371</v>
      </c>
    </row>
    <row r="3" spans="2:18" ht="13.8" thickBot="1" x14ac:dyDescent="0.3">
      <c r="B3" s="508" t="s">
        <v>182</v>
      </c>
      <c r="C3" s="510"/>
      <c r="D3" s="29" t="s">
        <v>372</v>
      </c>
    </row>
    <row r="4" spans="2:18" ht="13.8" thickBot="1" x14ac:dyDescent="0.3">
      <c r="B4" s="513" t="s">
        <v>177</v>
      </c>
      <c r="C4" s="514"/>
    </row>
    <row r="6" spans="2:18" x14ac:dyDescent="0.25">
      <c r="B6" s="106" t="s">
        <v>200</v>
      </c>
    </row>
    <row r="8" spans="2:18" x14ac:dyDescent="0.25">
      <c r="B8" s="108" t="s">
        <v>26</v>
      </c>
      <c r="D8" s="108" t="s">
        <v>10</v>
      </c>
      <c r="E8" s="108" t="s">
        <v>0</v>
      </c>
      <c r="F8" s="108" t="s">
        <v>1</v>
      </c>
      <c r="G8" s="108" t="s">
        <v>2</v>
      </c>
      <c r="H8" s="108" t="s">
        <v>3</v>
      </c>
      <c r="I8" s="108" t="s">
        <v>4</v>
      </c>
      <c r="J8" s="108" t="s">
        <v>5</v>
      </c>
      <c r="K8" s="108" t="s">
        <v>6</v>
      </c>
      <c r="L8" s="108" t="s">
        <v>7</v>
      </c>
      <c r="M8" s="108" t="s">
        <v>8</v>
      </c>
      <c r="N8" s="108" t="s">
        <v>9</v>
      </c>
    </row>
    <row r="9" spans="2:18" x14ac:dyDescent="0.25">
      <c r="B9" s="106" t="s">
        <v>266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2:18" x14ac:dyDescent="0.25">
      <c r="B10" s="145" t="s">
        <v>31</v>
      </c>
      <c r="D10" s="107">
        <f>'Personnel Expenses'!I13</f>
        <v>80400</v>
      </c>
      <c r="E10" s="107">
        <f>D10*(1+'Input Value'!$C$21)</f>
        <v>81204</v>
      </c>
      <c r="F10" s="107">
        <f>E10*(1+'Input Value'!$C$21)</f>
        <v>82016.039999999994</v>
      </c>
      <c r="G10" s="107">
        <f>F10*(1+'Input Value'!$C$21)</f>
        <v>82836.200400000002</v>
      </c>
      <c r="H10" s="107">
        <f>G10*(1+'Input Value'!$C$21)</f>
        <v>83664.562403999997</v>
      </c>
      <c r="I10" s="107">
        <f>H10*(1+'Input Value'!$C$21)</f>
        <v>84501.208028039997</v>
      </c>
      <c r="J10" s="107">
        <f>I10*(1+'Input Value'!$C$21)</f>
        <v>85346.220108320398</v>
      </c>
      <c r="K10" s="107">
        <f>J10*(1+'Input Value'!$C$21)</f>
        <v>86199.682309403608</v>
      </c>
      <c r="L10" s="107">
        <f>K10*(1+'Input Value'!$C$21)</f>
        <v>87061.679132497651</v>
      </c>
      <c r="M10" s="107">
        <f>L10*(1+'Input Value'!$C$21)</f>
        <v>87932.295923822632</v>
      </c>
      <c r="N10" s="107">
        <f>M10*(1+'Input Value'!$C$21)</f>
        <v>88811.618883060859</v>
      </c>
    </row>
    <row r="11" spans="2:18" x14ac:dyDescent="0.25">
      <c r="B11" s="145" t="s">
        <v>30</v>
      </c>
      <c r="D11" s="107">
        <f>'Personnel Expenses'!I14</f>
        <v>106400</v>
      </c>
      <c r="E11" s="107">
        <f>D11*(1+'Input Value'!$C$21)</f>
        <v>107464</v>
      </c>
      <c r="F11" s="107">
        <f>E11*(1+'Input Value'!$C$21)</f>
        <v>108538.64</v>
      </c>
      <c r="G11" s="107">
        <f>F11*(1+'Input Value'!$C$21)</f>
        <v>109624.0264</v>
      </c>
      <c r="H11" s="107">
        <f>G11*(1+'Input Value'!$C$21)</f>
        <v>110720.26666400001</v>
      </c>
      <c r="I11" s="107">
        <f>H11*(1+'Input Value'!$C$21)</f>
        <v>111827.46933064001</v>
      </c>
      <c r="J11" s="107">
        <f>I11*(1+'Input Value'!$C$21)</f>
        <v>112945.74402394642</v>
      </c>
      <c r="K11" s="107">
        <f>J11*(1+'Input Value'!$C$21)</f>
        <v>114075.20146418588</v>
      </c>
      <c r="L11" s="107">
        <f>K11*(1+'Input Value'!$C$21)</f>
        <v>115215.95347882774</v>
      </c>
      <c r="M11" s="107">
        <f>L11*(1+'Input Value'!$C$21)</f>
        <v>116368.11301361602</v>
      </c>
      <c r="N11" s="107">
        <f>M11*(1+'Input Value'!$C$21)</f>
        <v>117531.79414375218</v>
      </c>
    </row>
    <row r="12" spans="2:18" x14ac:dyDescent="0.25">
      <c r="B12" s="145" t="s">
        <v>29</v>
      </c>
      <c r="D12" s="107">
        <f>'Personnel Expenses'!I15</f>
        <v>78600</v>
      </c>
      <c r="E12" s="107">
        <f>D12*(1+'Input Value'!$C$21)</f>
        <v>79386</v>
      </c>
      <c r="F12" s="107">
        <f>E12*(1+'Input Value'!$C$21)</f>
        <v>80179.86</v>
      </c>
      <c r="G12" s="107">
        <f>F12*(1+'Input Value'!$C$21)</f>
        <v>80981.658599999995</v>
      </c>
      <c r="H12" s="107">
        <f>G12*(1+'Input Value'!$C$21)</f>
        <v>81791.475185999996</v>
      </c>
      <c r="I12" s="107">
        <f>H12*(1+'Input Value'!$C$21)</f>
        <v>82609.389937860004</v>
      </c>
      <c r="J12" s="107">
        <f>I12*(1+'Input Value'!$C$21)</f>
        <v>83435.4838372386</v>
      </c>
      <c r="K12" s="107">
        <f>J12*(1+'Input Value'!$C$21)</f>
        <v>84269.838675610983</v>
      </c>
      <c r="L12" s="107">
        <f>K12*(1+'Input Value'!$C$21)</f>
        <v>85112.53706236709</v>
      </c>
      <c r="M12" s="107">
        <f>L12*(1+'Input Value'!$C$21)</f>
        <v>85963.662432990765</v>
      </c>
      <c r="N12" s="107">
        <f>M12*(1+'Input Value'!$C$21)</f>
        <v>86823.299057320677</v>
      </c>
    </row>
    <row r="13" spans="2:18" x14ac:dyDescent="0.25">
      <c r="B13" s="106" t="s">
        <v>388</v>
      </c>
      <c r="D13" s="107">
        <f>SUM(D10:D12)</f>
        <v>265400</v>
      </c>
      <c r="E13" s="107">
        <f t="shared" ref="E13:N13" si="0">SUM(E10:E12)</f>
        <v>268054</v>
      </c>
      <c r="F13" s="107">
        <f t="shared" si="0"/>
        <v>270734.53999999998</v>
      </c>
      <c r="G13" s="107">
        <f t="shared" si="0"/>
        <v>273441.88540000003</v>
      </c>
      <c r="H13" s="107">
        <f t="shared" si="0"/>
        <v>276176.30425400002</v>
      </c>
      <c r="I13" s="107">
        <f t="shared" si="0"/>
        <v>278938.06729654002</v>
      </c>
      <c r="J13" s="107">
        <f t="shared" si="0"/>
        <v>281727.44796950545</v>
      </c>
      <c r="K13" s="107">
        <f t="shared" si="0"/>
        <v>284544.72244920046</v>
      </c>
      <c r="L13" s="107">
        <f t="shared" si="0"/>
        <v>287390.16967369249</v>
      </c>
      <c r="M13" s="107">
        <f t="shared" si="0"/>
        <v>290264.07137042942</v>
      </c>
      <c r="N13" s="107">
        <f t="shared" si="0"/>
        <v>293166.7120841337</v>
      </c>
    </row>
    <row r="14" spans="2:18" x14ac:dyDescent="0.25"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2:18" x14ac:dyDescent="0.25">
      <c r="B15" s="106" t="s">
        <v>267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2:18" x14ac:dyDescent="0.25">
      <c r="B16" s="145" t="s">
        <v>31</v>
      </c>
      <c r="D16" s="107">
        <f>'Personnel Expenses'!E29</f>
        <v>169200</v>
      </c>
      <c r="E16" s="107">
        <f>D16*(1+'Input Value'!$C$21)</f>
        <v>170892</v>
      </c>
      <c r="F16" s="107">
        <f>E16*(1+'Input Value'!$C$21)</f>
        <v>172600.92</v>
      </c>
      <c r="G16" s="107">
        <f>F16*(1+'Input Value'!$C$21)</f>
        <v>174326.92920000001</v>
      </c>
      <c r="H16" s="107">
        <f>G16*(1+'Input Value'!$C$21)</f>
        <v>176070.19849200002</v>
      </c>
      <c r="I16" s="107">
        <f>H16*(1+'Input Value'!$C$21)</f>
        <v>177830.90047692004</v>
      </c>
      <c r="J16" s="107">
        <f>I16*(1+'Input Value'!$C$21)</f>
        <v>179609.20948168923</v>
      </c>
      <c r="K16" s="107">
        <f>J16*(1+'Input Value'!$C$21)</f>
        <v>181405.30157650614</v>
      </c>
      <c r="L16" s="107">
        <f>K16*(1+'Input Value'!$C$21)</f>
        <v>183219.35459227121</v>
      </c>
      <c r="M16" s="107">
        <f>L16*(1+'Input Value'!$C$21)</f>
        <v>185051.54813819393</v>
      </c>
      <c r="N16" s="107">
        <f>M16*(1+'Input Value'!$C$21)</f>
        <v>186902.06361957587</v>
      </c>
      <c r="O16" s="107"/>
      <c r="P16" s="107"/>
      <c r="Q16" s="107"/>
      <c r="R16" s="107"/>
    </row>
    <row r="17" spans="2:18" x14ac:dyDescent="0.25">
      <c r="B17" s="145" t="s">
        <v>30</v>
      </c>
      <c r="D17" s="122">
        <f>'Personnel Expenses'!F29</f>
        <v>50760.000000000007</v>
      </c>
      <c r="E17" s="107">
        <f>D17*(1+'Input Value'!$C$21)</f>
        <v>51267.600000000006</v>
      </c>
      <c r="F17" s="107">
        <f>E17*(1+'Input Value'!$C$21)</f>
        <v>51780.276000000005</v>
      </c>
      <c r="G17" s="107">
        <f>F17*(1+'Input Value'!$C$21)</f>
        <v>52298.078760000004</v>
      </c>
      <c r="H17" s="107">
        <f>G17*(1+'Input Value'!$C$21)</f>
        <v>52821.059547600002</v>
      </c>
      <c r="I17" s="107">
        <f>H17*(1+'Input Value'!$C$21)</f>
        <v>53349.270143075999</v>
      </c>
      <c r="J17" s="107">
        <f>I17*(1+'Input Value'!$C$21)</f>
        <v>53882.76284450676</v>
      </c>
      <c r="K17" s="107">
        <f>J17*(1+'Input Value'!$C$21)</f>
        <v>54421.59047295183</v>
      </c>
      <c r="L17" s="107">
        <f>K17*(1+'Input Value'!$C$21)</f>
        <v>54965.806377681351</v>
      </c>
      <c r="M17" s="107">
        <f>L17*(1+'Input Value'!$C$21)</f>
        <v>55515.464441458163</v>
      </c>
      <c r="N17" s="107">
        <f>M17*(1+'Input Value'!$C$21)</f>
        <v>56070.619085872742</v>
      </c>
      <c r="O17" s="107"/>
      <c r="P17" s="107"/>
      <c r="Q17" s="107"/>
      <c r="R17" s="107"/>
    </row>
    <row r="18" spans="2:18" x14ac:dyDescent="0.25">
      <c r="B18" s="145" t="s">
        <v>29</v>
      </c>
      <c r="D18" s="107">
        <f>'Personnel Expenses'!I29</f>
        <v>22320</v>
      </c>
      <c r="E18" s="107">
        <f>D18*(1+'Input Value'!$C$21)</f>
        <v>22543.200000000001</v>
      </c>
      <c r="F18" s="107">
        <f>E18*(1+'Input Value'!$C$21)</f>
        <v>22768.632000000001</v>
      </c>
      <c r="G18" s="107">
        <f>F18*(1+'Input Value'!$C$21)</f>
        <v>22996.318320000002</v>
      </c>
      <c r="H18" s="107">
        <f>G18*(1+'Input Value'!$C$21)</f>
        <v>23226.281503200003</v>
      </c>
      <c r="I18" s="107">
        <f>H18*(1+'Input Value'!$C$21)</f>
        <v>23458.544318232005</v>
      </c>
      <c r="J18" s="107">
        <f>I18*(1+'Input Value'!$C$21)</f>
        <v>23693.129761414326</v>
      </c>
      <c r="K18" s="107">
        <f>J18*(1+'Input Value'!$C$21)</f>
        <v>23930.06105902847</v>
      </c>
      <c r="L18" s="107">
        <f>K18*(1+'Input Value'!$C$21)</f>
        <v>24169.361669618756</v>
      </c>
      <c r="M18" s="107">
        <f>L18*(1+'Input Value'!$C$21)</f>
        <v>24411.055286314946</v>
      </c>
      <c r="N18" s="107">
        <f>M18*(1+'Input Value'!$C$21)</f>
        <v>24655.165839178095</v>
      </c>
      <c r="O18" s="107"/>
      <c r="P18" s="107"/>
      <c r="Q18" s="107"/>
      <c r="R18" s="107"/>
    </row>
    <row r="19" spans="2:18" x14ac:dyDescent="0.25">
      <c r="B19" s="106" t="s">
        <v>389</v>
      </c>
      <c r="D19" s="107">
        <f>SUM(D16:D18)</f>
        <v>242280</v>
      </c>
      <c r="E19" s="107">
        <f t="shared" ref="E19:N19" si="1">SUM(E16:E18)</f>
        <v>244702.80000000002</v>
      </c>
      <c r="F19" s="107">
        <f t="shared" si="1"/>
        <v>247149.82800000004</v>
      </c>
      <c r="G19" s="107">
        <f t="shared" si="1"/>
        <v>249621.32628000001</v>
      </c>
      <c r="H19" s="107">
        <f t="shared" si="1"/>
        <v>252117.53954280005</v>
      </c>
      <c r="I19" s="107">
        <f t="shared" si="1"/>
        <v>254638.71493822805</v>
      </c>
      <c r="J19" s="107">
        <f t="shared" si="1"/>
        <v>257185.10208761034</v>
      </c>
      <c r="K19" s="107">
        <f t="shared" si="1"/>
        <v>259756.95310848643</v>
      </c>
      <c r="L19" s="107">
        <f t="shared" si="1"/>
        <v>262354.52263957134</v>
      </c>
      <c r="M19" s="107">
        <f t="shared" si="1"/>
        <v>264978.06786596705</v>
      </c>
      <c r="N19" s="107">
        <f t="shared" si="1"/>
        <v>267627.84854462673</v>
      </c>
      <c r="O19" s="107"/>
      <c r="P19" s="107"/>
      <c r="Q19" s="107"/>
      <c r="R19" s="107"/>
    </row>
    <row r="20" spans="2:18" x14ac:dyDescent="0.25"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</row>
    <row r="21" spans="2:18" x14ac:dyDescent="0.25">
      <c r="B21" s="106" t="s">
        <v>345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</row>
    <row r="22" spans="2:18" x14ac:dyDescent="0.25">
      <c r="B22" s="145" t="s">
        <v>31</v>
      </c>
      <c r="C22" s="106"/>
      <c r="D22" s="329">
        <f>'Personnel Expenses'!E35</f>
        <v>18000</v>
      </c>
      <c r="E22" s="107">
        <f>D22*(1+'Input Value'!$C$21)</f>
        <v>18180</v>
      </c>
      <c r="F22" s="107">
        <f>E22*(1+'Input Value'!$C$21)</f>
        <v>18361.8</v>
      </c>
      <c r="G22" s="107">
        <f>F22*(1+'Input Value'!$C$21)</f>
        <v>18545.417999999998</v>
      </c>
      <c r="H22" s="107">
        <f>G22*(1+'Input Value'!$C$21)</f>
        <v>18730.872179999998</v>
      </c>
      <c r="I22" s="107">
        <f>H22*(1+'Input Value'!$C$21)</f>
        <v>18918.180901799999</v>
      </c>
      <c r="J22" s="107">
        <f>I22*(1+'Input Value'!$C$21)</f>
        <v>19107.362710817997</v>
      </c>
      <c r="K22" s="107">
        <f>J22*(1+'Input Value'!$C$21)</f>
        <v>19298.436337926178</v>
      </c>
      <c r="L22" s="107">
        <f>K22*(1+'Input Value'!$C$21)</f>
        <v>19491.42070130544</v>
      </c>
      <c r="M22" s="107">
        <f>L22*(1+'Input Value'!$C$21)</f>
        <v>19686.334908318495</v>
      </c>
      <c r="N22" s="107">
        <f>M22*(1+'Input Value'!$C$21)</f>
        <v>19883.19825740168</v>
      </c>
      <c r="O22" s="107"/>
      <c r="P22" s="107"/>
      <c r="Q22" s="107"/>
      <c r="R22" s="107"/>
    </row>
    <row r="23" spans="2:18" x14ac:dyDescent="0.25">
      <c r="B23" s="145" t="s">
        <v>30</v>
      </c>
      <c r="D23" s="107">
        <f>'Personnel Expenses'!F35</f>
        <v>5400.0000000000009</v>
      </c>
      <c r="E23" s="107">
        <f>D23*(1+'Input Value'!$C$21)</f>
        <v>5454.0000000000009</v>
      </c>
      <c r="F23" s="107">
        <f>E23*(1+'Input Value'!$C$21)</f>
        <v>5508.5400000000009</v>
      </c>
      <c r="G23" s="107">
        <f>F23*(1+'Input Value'!$C$21)</f>
        <v>5563.6254000000008</v>
      </c>
      <c r="H23" s="107">
        <f>G23*(1+'Input Value'!$C$21)</f>
        <v>5619.2616540000008</v>
      </c>
      <c r="I23" s="107">
        <f>H23*(1+'Input Value'!$C$21)</f>
        <v>5675.4542705400008</v>
      </c>
      <c r="J23" s="107">
        <f>I23*(1+'Input Value'!$C$21)</f>
        <v>5732.208813245401</v>
      </c>
      <c r="K23" s="107">
        <f>J23*(1+'Input Value'!$C$21)</f>
        <v>5789.5309013778551</v>
      </c>
      <c r="L23" s="107">
        <f>K23*(1+'Input Value'!$C$21)</f>
        <v>5847.4262103916335</v>
      </c>
      <c r="M23" s="107">
        <f>L23*(1+'Input Value'!$C$21)</f>
        <v>5905.9004724955503</v>
      </c>
      <c r="N23" s="107">
        <f>M23*(1+'Input Value'!$C$21)</f>
        <v>5964.9594772205055</v>
      </c>
      <c r="O23" s="107"/>
      <c r="P23" s="107"/>
      <c r="Q23" s="107"/>
      <c r="R23" s="107"/>
    </row>
    <row r="24" spans="2:18" x14ac:dyDescent="0.25">
      <c r="B24" s="145" t="s">
        <v>29</v>
      </c>
      <c r="D24" s="107">
        <f>'Personnel Expenses'!I35</f>
        <v>360</v>
      </c>
      <c r="E24" s="107">
        <f>D24*(1+'Input Value'!$C$21)</f>
        <v>363.6</v>
      </c>
      <c r="F24" s="107">
        <f>E24*(1+'Input Value'!$C$21)</f>
        <v>367.23600000000005</v>
      </c>
      <c r="G24" s="107">
        <f>F24*(1+'Input Value'!$C$21)</f>
        <v>370.90836000000007</v>
      </c>
      <c r="H24" s="107">
        <f>G24*(1+'Input Value'!$C$21)</f>
        <v>374.61744360000006</v>
      </c>
      <c r="I24" s="107">
        <f>H24*(1+'Input Value'!$C$21)</f>
        <v>378.36361803600005</v>
      </c>
      <c r="J24" s="107">
        <f>I24*(1+'Input Value'!$C$21)</f>
        <v>382.14725421636007</v>
      </c>
      <c r="K24" s="107">
        <f>J24*(1+'Input Value'!$C$21)</f>
        <v>385.96872675852364</v>
      </c>
      <c r="L24" s="107">
        <f>K24*(1+'Input Value'!$C$21)</f>
        <v>389.82841402610887</v>
      </c>
      <c r="M24" s="107">
        <f>L24*(1+'Input Value'!$C$21)</f>
        <v>393.72669816636994</v>
      </c>
      <c r="N24" s="107">
        <f>M24*(1+'Input Value'!$C$21)</f>
        <v>397.66396514803364</v>
      </c>
      <c r="O24" s="107"/>
      <c r="P24" s="107"/>
      <c r="Q24" s="107"/>
      <c r="R24" s="107"/>
    </row>
    <row r="25" spans="2:18" x14ac:dyDescent="0.25">
      <c r="B25" s="432" t="s">
        <v>346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  <row r="26" spans="2:18" x14ac:dyDescent="0.25">
      <c r="B26" s="145" t="s">
        <v>31</v>
      </c>
      <c r="D26" s="329">
        <f>'Personnel Expenses'!E45</f>
        <v>63000</v>
      </c>
      <c r="E26" s="107">
        <f>D26*(1+'Input Value'!$C$21)</f>
        <v>63630</v>
      </c>
      <c r="F26" s="107">
        <f>E26*(1+'Input Value'!$C$21)</f>
        <v>64266.3</v>
      </c>
      <c r="G26" s="107">
        <f>F26*(1+'Input Value'!$C$21)</f>
        <v>64908.963000000003</v>
      </c>
      <c r="H26" s="107">
        <f>G26*(1+'Input Value'!$C$21)</f>
        <v>65558.052630000006</v>
      </c>
      <c r="I26" s="107">
        <f>H26*(1+'Input Value'!$C$21)</f>
        <v>66213.633156300013</v>
      </c>
      <c r="J26" s="107">
        <f>I26*(1+'Input Value'!$C$21)</f>
        <v>66875.769487863014</v>
      </c>
      <c r="K26" s="107">
        <f>J26*(1+'Input Value'!$C$21)</f>
        <v>67544.527182741644</v>
      </c>
      <c r="L26" s="107">
        <f>K26*(1+'Input Value'!$C$21)</f>
        <v>68219.972454569055</v>
      </c>
      <c r="M26" s="107">
        <f>L26*(1+'Input Value'!$C$21)</f>
        <v>68902.172179114743</v>
      </c>
      <c r="N26" s="107">
        <f>M26*(1+'Input Value'!$C$21)</f>
        <v>69591.193900905884</v>
      </c>
      <c r="O26" s="107"/>
      <c r="P26" s="107"/>
      <c r="Q26" s="107"/>
      <c r="R26" s="107"/>
    </row>
    <row r="27" spans="2:18" x14ac:dyDescent="0.25">
      <c r="B27" s="145" t="s">
        <v>30</v>
      </c>
      <c r="D27" s="107">
        <f>'Personnel Expenses'!F45</f>
        <v>18900.000000000004</v>
      </c>
      <c r="E27" s="107">
        <f>D27*(1+'Input Value'!$C$21)</f>
        <v>19089.000000000004</v>
      </c>
      <c r="F27" s="107">
        <f>E27*(1+'Input Value'!$C$21)</f>
        <v>19279.890000000003</v>
      </c>
      <c r="G27" s="107">
        <f>F27*(1+'Input Value'!$C$21)</f>
        <v>19472.688900000005</v>
      </c>
      <c r="H27" s="107">
        <f>G27*(1+'Input Value'!$C$21)</f>
        <v>19667.415789000006</v>
      </c>
      <c r="I27" s="107">
        <f>H27*(1+'Input Value'!$C$21)</f>
        <v>19864.089946890006</v>
      </c>
      <c r="J27" s="107">
        <f>I27*(1+'Input Value'!$C$21)</f>
        <v>20062.730846358907</v>
      </c>
      <c r="K27" s="107">
        <f>J27*(1+'Input Value'!$C$21)</f>
        <v>20263.358154822497</v>
      </c>
      <c r="L27" s="107">
        <f>K27*(1+'Input Value'!$C$21)</f>
        <v>20465.991736370721</v>
      </c>
      <c r="M27" s="107">
        <f>L27*(1+'Input Value'!$C$21)</f>
        <v>20670.651653734429</v>
      </c>
      <c r="N27" s="107">
        <f>M27*(1+'Input Value'!$C$21)</f>
        <v>20877.358170271775</v>
      </c>
      <c r="O27" s="107"/>
      <c r="P27" s="107"/>
      <c r="Q27" s="107"/>
      <c r="R27" s="107"/>
    </row>
    <row r="28" spans="2:18" x14ac:dyDescent="0.25">
      <c r="B28" s="145" t="s">
        <v>29</v>
      </c>
      <c r="D28" s="107">
        <f>'Personnel Expenses'!I45</f>
        <v>180</v>
      </c>
      <c r="E28" s="107">
        <f>D28*(1+'Input Value'!$C$21)</f>
        <v>181.8</v>
      </c>
      <c r="F28" s="107">
        <f>E28*(1+'Input Value'!$C$21)</f>
        <v>183.61800000000002</v>
      </c>
      <c r="G28" s="107">
        <f>F28*(1+'Input Value'!$C$21)</f>
        <v>185.45418000000004</v>
      </c>
      <c r="H28" s="107">
        <f>G28*(1+'Input Value'!$C$21)</f>
        <v>187.30872180000003</v>
      </c>
      <c r="I28" s="107">
        <f>H28*(1+'Input Value'!$C$21)</f>
        <v>189.18180901800002</v>
      </c>
      <c r="J28" s="107">
        <f>I28*(1+'Input Value'!$C$21)</f>
        <v>191.07362710818003</v>
      </c>
      <c r="K28" s="107">
        <f>J28*(1+'Input Value'!$C$21)</f>
        <v>192.98436337926182</v>
      </c>
      <c r="L28" s="107">
        <f>K28*(1+'Input Value'!$C$21)</f>
        <v>194.91420701305444</v>
      </c>
      <c r="M28" s="107">
        <f>L28*(1+'Input Value'!$C$21)</f>
        <v>196.86334908318497</v>
      </c>
      <c r="N28" s="107">
        <f>M28*(1+'Input Value'!$C$21)</f>
        <v>198.83198257401682</v>
      </c>
      <c r="O28" s="107"/>
      <c r="P28" s="107"/>
      <c r="Q28" s="107"/>
      <c r="R28" s="107"/>
    </row>
    <row r="29" spans="2:18" x14ac:dyDescent="0.25">
      <c r="B29" s="106" t="s">
        <v>390</v>
      </c>
      <c r="D29" s="329">
        <f>SUM(D22:D28)</f>
        <v>105840</v>
      </c>
      <c r="E29" s="329">
        <f t="shared" ref="E29:N29" si="2">SUM(E22:E28)</f>
        <v>106898.40000000001</v>
      </c>
      <c r="F29" s="329">
        <f t="shared" si="2"/>
        <v>107967.38400000001</v>
      </c>
      <c r="G29" s="329">
        <f t="shared" si="2"/>
        <v>109047.05784000001</v>
      </c>
      <c r="H29" s="329">
        <f t="shared" si="2"/>
        <v>110137.5284184</v>
      </c>
      <c r="I29" s="329">
        <f t="shared" si="2"/>
        <v>111238.90370258402</v>
      </c>
      <c r="J29" s="329">
        <f t="shared" si="2"/>
        <v>112351.29273960987</v>
      </c>
      <c r="K29" s="329">
        <f t="shared" si="2"/>
        <v>113474.80566700596</v>
      </c>
      <c r="L29" s="329">
        <f t="shared" si="2"/>
        <v>114609.553723676</v>
      </c>
      <c r="M29" s="329">
        <f t="shared" si="2"/>
        <v>115755.64926091277</v>
      </c>
      <c r="N29" s="329">
        <f t="shared" si="2"/>
        <v>116913.20575352189</v>
      </c>
    </row>
    <row r="30" spans="2:18" x14ac:dyDescent="0.25">
      <c r="M30" s="29"/>
    </row>
    <row r="31" spans="2:18" x14ac:dyDescent="0.25">
      <c r="B31" s="106" t="s">
        <v>391</v>
      </c>
      <c r="D31" s="329">
        <f>+D19+D29</f>
        <v>348120</v>
      </c>
      <c r="E31" s="329">
        <f t="shared" ref="E31:N31" si="3">+E19+E29</f>
        <v>351601.2</v>
      </c>
      <c r="F31" s="329">
        <f t="shared" si="3"/>
        <v>355117.21200000006</v>
      </c>
      <c r="G31" s="329">
        <f t="shared" si="3"/>
        <v>358668.38412</v>
      </c>
      <c r="H31" s="329">
        <f t="shared" si="3"/>
        <v>362255.06796120002</v>
      </c>
      <c r="I31" s="329">
        <f t="shared" si="3"/>
        <v>365877.61864081206</v>
      </c>
      <c r="J31" s="329">
        <f t="shared" si="3"/>
        <v>369536.39482722024</v>
      </c>
      <c r="K31" s="329">
        <f t="shared" si="3"/>
        <v>373231.75877549237</v>
      </c>
      <c r="L31" s="329">
        <f t="shared" si="3"/>
        <v>376964.07636324735</v>
      </c>
      <c r="M31" s="329">
        <f t="shared" si="3"/>
        <v>380733.71712687984</v>
      </c>
      <c r="N31" s="329">
        <f t="shared" si="3"/>
        <v>384541.05429814861</v>
      </c>
    </row>
    <row r="32" spans="2:18" x14ac:dyDescent="0.25">
      <c r="M32" s="29"/>
    </row>
    <row r="33" spans="2:14" x14ac:dyDescent="0.25">
      <c r="B33" s="106" t="s">
        <v>35</v>
      </c>
      <c r="D33" s="134">
        <f>+D13+D31</f>
        <v>613520</v>
      </c>
      <c r="E33" s="134">
        <f t="shared" ref="E33:N33" si="4">+E13+E31</f>
        <v>619655.19999999995</v>
      </c>
      <c r="F33" s="134">
        <f t="shared" si="4"/>
        <v>625851.75200000009</v>
      </c>
      <c r="G33" s="134">
        <f t="shared" si="4"/>
        <v>632110.26952000009</v>
      </c>
      <c r="H33" s="134">
        <f t="shared" si="4"/>
        <v>638431.37221519998</v>
      </c>
      <c r="I33" s="134">
        <f t="shared" si="4"/>
        <v>644815.68593735201</v>
      </c>
      <c r="J33" s="134">
        <f t="shared" si="4"/>
        <v>651263.84279672569</v>
      </c>
      <c r="K33" s="134">
        <f t="shared" si="4"/>
        <v>657776.48122469289</v>
      </c>
      <c r="L33" s="134">
        <f t="shared" si="4"/>
        <v>664354.24603693979</v>
      </c>
      <c r="M33" s="134">
        <f t="shared" si="4"/>
        <v>670997.7884973092</v>
      </c>
      <c r="N33" s="134">
        <f t="shared" si="4"/>
        <v>677707.76638228237</v>
      </c>
    </row>
    <row r="34" spans="2:14" x14ac:dyDescent="0.25">
      <c r="M34" s="29"/>
    </row>
    <row r="35" spans="2:14" x14ac:dyDescent="0.25">
      <c r="B35" s="133" t="s">
        <v>101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2:14" x14ac:dyDescent="0.25">
      <c r="B36" s="145" t="s">
        <v>297</v>
      </c>
      <c r="D36" s="107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2:14" x14ac:dyDescent="0.25">
      <c r="B37" s="145" t="s">
        <v>211</v>
      </c>
      <c r="D37" s="34"/>
      <c r="E37" s="34">
        <f>'Market Projection'!E5*'Input Value'!$I$13</f>
        <v>244388.57142857142</v>
      </c>
      <c r="F37" s="34">
        <f>'Market Projection'!F5*'Input Value'!$I$13</f>
        <v>244388.57142857142</v>
      </c>
      <c r="G37" s="34">
        <f>'Market Projection'!G5*'Input Value'!$I$13</f>
        <v>244388.57142857142</v>
      </c>
      <c r="H37" s="34">
        <f>'Market Projection'!H5*'Input Value'!$I$13</f>
        <v>244388.57142857142</v>
      </c>
      <c r="I37" s="34">
        <f>'Market Projection'!I5*'Input Value'!$I$13</f>
        <v>244388.57142857142</v>
      </c>
      <c r="J37" s="34">
        <f>'Market Projection'!J5*'Input Value'!$I$13</f>
        <v>244388.57142857142</v>
      </c>
      <c r="K37" s="34">
        <f>'Market Projection'!K5*'Input Value'!$I$13</f>
        <v>244388.57142857142</v>
      </c>
      <c r="L37" s="34">
        <f>'Market Projection'!L5*'Input Value'!$I$13</f>
        <v>244388.57142857142</v>
      </c>
      <c r="M37" s="34">
        <f>'Market Projection'!M5*'Input Value'!$I$13</f>
        <v>244388.57142857142</v>
      </c>
      <c r="N37" s="34">
        <f>'Market Projection'!N5*'Input Value'!$I$13</f>
        <v>244388.57142857142</v>
      </c>
    </row>
    <row r="38" spans="2:14" x14ac:dyDescent="0.25">
      <c r="B38" s="145" t="s">
        <v>298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2:14" x14ac:dyDescent="0.25">
      <c r="B39" s="145" t="s">
        <v>360</v>
      </c>
      <c r="D39" s="34"/>
      <c r="E39" s="34">
        <f>'Market Projection'!E8*'Input Value'!$I$12</f>
        <v>2397917.3877551025</v>
      </c>
      <c r="F39" s="34">
        <f>'Market Projection'!F8*'Input Value'!$I$12</f>
        <v>2397917.3877551025</v>
      </c>
      <c r="G39" s="34">
        <f>'Market Projection'!G8*'Input Value'!$I$12</f>
        <v>2397917.3877551025</v>
      </c>
      <c r="H39" s="34">
        <f>'Market Projection'!H8*'Input Value'!$I$12</f>
        <v>2397917.3877551025</v>
      </c>
      <c r="I39" s="34">
        <f>'Market Projection'!I8*'Input Value'!$I$12</f>
        <v>2397917.3877551025</v>
      </c>
      <c r="J39" s="34">
        <f>'Market Projection'!J8*'Input Value'!$I$12</f>
        <v>2397917.3877551025</v>
      </c>
      <c r="K39" s="34">
        <f>'Market Projection'!K8*'Input Value'!$I$12</f>
        <v>2397917.3877551025</v>
      </c>
      <c r="L39" s="34">
        <f>'Market Projection'!L8*'Input Value'!$I$12</f>
        <v>2397917.3877551025</v>
      </c>
      <c r="M39" s="34">
        <f>'Market Projection'!M8*'Input Value'!$I$12</f>
        <v>2397917.3877551025</v>
      </c>
      <c r="N39" s="34">
        <f>'Market Projection'!N8*'Input Value'!$I$12</f>
        <v>2397917.3877551025</v>
      </c>
    </row>
    <row r="40" spans="2:14" x14ac:dyDescent="0.25">
      <c r="B40" s="145" t="s">
        <v>299</v>
      </c>
      <c r="D40" s="34"/>
      <c r="E40" s="34">
        <f>'Market Projection'!E7*'Input Value'!$C$30</f>
        <v>135972.42996546312</v>
      </c>
      <c r="F40" s="34">
        <f>'Market Projection'!F7*'Input Value'!$C$30</f>
        <v>135972.42996546312</v>
      </c>
      <c r="G40" s="34">
        <f>'Market Projection'!G7*'Input Value'!$C$30</f>
        <v>135972.42996546312</v>
      </c>
      <c r="H40" s="34">
        <f>'Market Projection'!H7*'Input Value'!$C$30</f>
        <v>135972.42996546312</v>
      </c>
      <c r="I40" s="34">
        <f>'Market Projection'!I7*'Input Value'!$C$30</f>
        <v>135972.42996546312</v>
      </c>
      <c r="J40" s="34">
        <f>'Market Projection'!J7*'Input Value'!$C$30</f>
        <v>135972.42996546312</v>
      </c>
      <c r="K40" s="34">
        <f>'Market Projection'!K7*'Input Value'!$C$30</f>
        <v>135972.42996546312</v>
      </c>
      <c r="L40" s="34">
        <f>'Market Projection'!L7*'Input Value'!$C$30</f>
        <v>135972.42996546312</v>
      </c>
      <c r="M40" s="34">
        <f>'Market Projection'!M7*'Input Value'!$C$30</f>
        <v>135972.42996546312</v>
      </c>
      <c r="N40" s="34">
        <f>'Market Projection'!N7*'Input Value'!$C$30</f>
        <v>135972.42996546312</v>
      </c>
    </row>
    <row r="41" spans="2:14" x14ac:dyDescent="0.25">
      <c r="B41" s="145" t="s">
        <v>413</v>
      </c>
      <c r="D41" s="107"/>
      <c r="E41" s="107">
        <f>'Market Projection'!E7*'Input Value'!$I$14</f>
        <v>77344.954474097322</v>
      </c>
      <c r="F41" s="107">
        <f>'Market Projection'!F7*'Input Value'!$I$14</f>
        <v>77344.954474097322</v>
      </c>
      <c r="G41" s="107">
        <f>'Market Projection'!G7*'Input Value'!$I$14</f>
        <v>77344.954474097322</v>
      </c>
      <c r="H41" s="107">
        <f>'Market Projection'!H7*'Input Value'!$I$14</f>
        <v>77344.954474097322</v>
      </c>
      <c r="I41" s="107">
        <f>'Market Projection'!I7*'Input Value'!$I$14</f>
        <v>77344.954474097322</v>
      </c>
      <c r="J41" s="107">
        <f>'Market Projection'!J7*'Input Value'!$I$14</f>
        <v>77344.954474097322</v>
      </c>
      <c r="K41" s="107">
        <f>'Market Projection'!K7*'Input Value'!$I$14</f>
        <v>77344.954474097322</v>
      </c>
      <c r="L41" s="107">
        <f>'Market Projection'!L7*'Input Value'!$I$14</f>
        <v>77344.954474097322</v>
      </c>
      <c r="M41" s="107">
        <f>'Market Projection'!M7*'Input Value'!$I$14</f>
        <v>77344.954474097322</v>
      </c>
      <c r="N41" s="107">
        <f>'Market Projection'!N7*'Input Value'!$I$14</f>
        <v>77344.954474097322</v>
      </c>
    </row>
    <row r="42" spans="2:14" x14ac:dyDescent="0.25">
      <c r="B42" s="145" t="s">
        <v>474</v>
      </c>
      <c r="D42" s="107"/>
      <c r="E42" s="107">
        <f>('Market Projection'!E5/'Input Value'!$C$29)*'Input Value'!$C$27*2*'Input Value'!$C$28</f>
        <v>11613.344914285715</v>
      </c>
      <c r="F42" s="107">
        <f>('Market Projection'!F5/'Input Value'!$C$29)*'Input Value'!$C$27*2*'Input Value'!$C$28</f>
        <v>11613.344914285715</v>
      </c>
      <c r="G42" s="107">
        <f>('Market Projection'!G5/'Input Value'!$C$29)*'Input Value'!$C$27*2*'Input Value'!$C$28</f>
        <v>11613.344914285715</v>
      </c>
      <c r="H42" s="107">
        <f>('Market Projection'!H5/'Input Value'!$C$29)*'Input Value'!$C$27*2*'Input Value'!$C$28</f>
        <v>11613.344914285715</v>
      </c>
      <c r="I42" s="107">
        <f>('Market Projection'!I5/'Input Value'!$C$29)*'Input Value'!$C$27*2*'Input Value'!$C$28</f>
        <v>11613.344914285715</v>
      </c>
      <c r="J42" s="107">
        <f>('Market Projection'!J5/'Input Value'!$C$29)*'Input Value'!$C$27*2*'Input Value'!$C$28</f>
        <v>11613.344914285715</v>
      </c>
      <c r="K42" s="107">
        <f>('Market Projection'!K5/'Input Value'!$C$29)*'Input Value'!$C$27*2*'Input Value'!$C$28</f>
        <v>11613.344914285715</v>
      </c>
      <c r="L42" s="107">
        <f>('Market Projection'!L5/'Input Value'!$C$29)*'Input Value'!$C$27*2*'Input Value'!$C$28</f>
        <v>11613.344914285715</v>
      </c>
      <c r="M42" s="107">
        <f>('Market Projection'!M5/'Input Value'!$C$29)*'Input Value'!$C$27*2*'Input Value'!$C$28</f>
        <v>11613.344914285715</v>
      </c>
      <c r="N42" s="107">
        <f>('Market Projection'!N5/'Input Value'!$C$29)*'Input Value'!$C$27*2*'Input Value'!$C$28</f>
        <v>11613.344914285715</v>
      </c>
    </row>
    <row r="43" spans="2:14" x14ac:dyDescent="0.25">
      <c r="B43" s="106" t="s">
        <v>363</v>
      </c>
      <c r="D43" s="107"/>
      <c r="E43" s="34">
        <f>SUM(E36:E42)</f>
        <v>2867236.6885375199</v>
      </c>
      <c r="F43" s="34">
        <f t="shared" ref="F43:N43" si="5">SUM(F36:F42)</f>
        <v>2867236.6885375199</v>
      </c>
      <c r="G43" s="34">
        <f t="shared" si="5"/>
        <v>2867236.6885375199</v>
      </c>
      <c r="H43" s="34">
        <f t="shared" si="5"/>
        <v>2867236.6885375199</v>
      </c>
      <c r="I43" s="34">
        <f t="shared" si="5"/>
        <v>2867236.6885375199</v>
      </c>
      <c r="J43" s="34">
        <f t="shared" si="5"/>
        <v>2867236.6885375199</v>
      </c>
      <c r="K43" s="34">
        <f t="shared" si="5"/>
        <v>2867236.6885375199</v>
      </c>
      <c r="L43" s="34">
        <f t="shared" si="5"/>
        <v>2867236.6885375199</v>
      </c>
      <c r="M43" s="34">
        <f t="shared" si="5"/>
        <v>2867236.6885375199</v>
      </c>
      <c r="N43" s="34">
        <f t="shared" si="5"/>
        <v>2867236.6885375199</v>
      </c>
    </row>
    <row r="44" spans="2:14" x14ac:dyDescent="0.25">
      <c r="B44" s="145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  <row r="45" spans="2:14" x14ac:dyDescent="0.25">
      <c r="B45" s="106" t="s">
        <v>37</v>
      </c>
      <c r="D45" s="107"/>
      <c r="E45" s="34"/>
      <c r="F45" s="107"/>
      <c r="G45" s="107"/>
      <c r="H45" s="107"/>
      <c r="I45" s="107"/>
      <c r="J45" s="107"/>
      <c r="K45" s="107"/>
      <c r="L45" s="107"/>
      <c r="M45" s="107"/>
      <c r="N45" s="107"/>
    </row>
    <row r="46" spans="2:14" x14ac:dyDescent="0.25">
      <c r="B46" s="132" t="s">
        <v>138</v>
      </c>
      <c r="D46" s="107"/>
      <c r="E46" s="34">
        <f>Utilities!C18</f>
        <v>224874.23999999999</v>
      </c>
      <c r="F46" s="107">
        <f>E46*(1+'Input Value'!$F$33)</f>
        <v>227122.98239999998</v>
      </c>
      <c r="G46" s="107">
        <f>F46*(1+'Input Value'!$F$33)</f>
        <v>229394.21222399999</v>
      </c>
      <c r="H46" s="107">
        <f>G46*(1+'Input Value'!$F$33)</f>
        <v>231688.15434623999</v>
      </c>
      <c r="I46" s="107">
        <f>H46*(1+'Input Value'!$F$33)</f>
        <v>234005.03588970238</v>
      </c>
      <c r="J46" s="107">
        <f>I46*(1+'Input Value'!$F$33)</f>
        <v>236345.0862485994</v>
      </c>
      <c r="K46" s="107">
        <f>J46*(1+'Input Value'!$F$33)</f>
        <v>238708.5371110854</v>
      </c>
      <c r="L46" s="107">
        <f>K46*(1+'Input Value'!$F$33)</f>
        <v>241095.62248219625</v>
      </c>
      <c r="M46" s="107">
        <f>L46*(1+'Input Value'!$F$33)</f>
        <v>243506.57870701823</v>
      </c>
      <c r="N46" s="107">
        <f>M46*(1+'Input Value'!$F$33)</f>
        <v>245941.64449408842</v>
      </c>
    </row>
    <row r="47" spans="2:14" x14ac:dyDescent="0.25">
      <c r="B47" s="132" t="s">
        <v>139</v>
      </c>
      <c r="D47" s="107"/>
      <c r="E47" s="34">
        <f>Utilities!C22</f>
        <v>8300.4832653061258</v>
      </c>
      <c r="F47" s="107">
        <f>E47*(1+'Input Value'!$F$33)</f>
        <v>8383.4880979591871</v>
      </c>
      <c r="G47" s="107">
        <f>F47*(1+'Input Value'!$F$33)</f>
        <v>8467.3229789387788</v>
      </c>
      <c r="H47" s="107">
        <f>G47*(1+'Input Value'!$F$33)</f>
        <v>8551.9962087281674</v>
      </c>
      <c r="I47" s="107">
        <f>H47*(1+'Input Value'!$F$33)</f>
        <v>8637.5161708154483</v>
      </c>
      <c r="J47" s="107">
        <f>I47*(1+'Input Value'!$F$33)</f>
        <v>8723.8913325236026</v>
      </c>
      <c r="K47" s="107">
        <f>J47*(1+'Input Value'!$F$33)</f>
        <v>8811.130245848839</v>
      </c>
      <c r="L47" s="107">
        <f>K47*(1+'Input Value'!$F$33)</f>
        <v>8899.2415483073273</v>
      </c>
      <c r="M47" s="107">
        <f>L47*(1+'Input Value'!$F$33)</f>
        <v>8988.2339637904006</v>
      </c>
      <c r="N47" s="107">
        <f>M47*(1+'Input Value'!$F$33)</f>
        <v>9078.1163034283054</v>
      </c>
    </row>
    <row r="48" spans="2:14" x14ac:dyDescent="0.25">
      <c r="B48" s="132" t="s">
        <v>407</v>
      </c>
      <c r="D48" s="107"/>
      <c r="E48" s="34">
        <f>+Utilities!C20</f>
        <v>3000</v>
      </c>
      <c r="F48" s="107">
        <f>E48*(1+'Input Value'!$F$33)</f>
        <v>3030</v>
      </c>
      <c r="G48" s="107">
        <f>F48*(1+'Input Value'!$F$33)</f>
        <v>3060.3</v>
      </c>
      <c r="H48" s="107">
        <f>G48*(1+'Input Value'!$F$33)</f>
        <v>3090.9030000000002</v>
      </c>
      <c r="I48" s="107">
        <f>H48*(1+'Input Value'!$F$33)</f>
        <v>3121.8120300000005</v>
      </c>
      <c r="J48" s="107">
        <f>I48*(1+'Input Value'!$F$33)</f>
        <v>3153.0301503000005</v>
      </c>
      <c r="K48" s="107">
        <f>J48*(1+'Input Value'!$F$33)</f>
        <v>3184.5604518030004</v>
      </c>
      <c r="L48" s="107">
        <f>K48*(1+'Input Value'!$F$33)</f>
        <v>3216.4060563210305</v>
      </c>
      <c r="M48" s="107">
        <f>L48*(1+'Input Value'!$F$33)</f>
        <v>3248.5701168842406</v>
      </c>
      <c r="N48" s="107">
        <f>M48*(1+'Input Value'!$F$33)</f>
        <v>3281.0558180530829</v>
      </c>
    </row>
    <row r="49" spans="2:14" x14ac:dyDescent="0.25">
      <c r="B49" s="132" t="s">
        <v>408</v>
      </c>
      <c r="D49" s="107"/>
      <c r="E49" s="34">
        <f>+Utilities!C24</f>
        <v>2400</v>
      </c>
      <c r="F49" s="107">
        <f>E49*(1+'Input Value'!$F$33)</f>
        <v>2424</v>
      </c>
      <c r="G49" s="107">
        <f>F49*(1+'Input Value'!$F$33)</f>
        <v>2448.2400000000002</v>
      </c>
      <c r="H49" s="107">
        <f>G49*(1+'Input Value'!$F$33)</f>
        <v>2472.7224000000001</v>
      </c>
      <c r="I49" s="107">
        <f>H49*(1+'Input Value'!$F$33)</f>
        <v>2497.4496240000003</v>
      </c>
      <c r="J49" s="107">
        <f>I49*(1+'Input Value'!$F$33)</f>
        <v>2522.4241202400003</v>
      </c>
      <c r="K49" s="107">
        <f>J49*(1+'Input Value'!$F$33)</f>
        <v>2547.6483614424005</v>
      </c>
      <c r="L49" s="107">
        <f>K49*(1+'Input Value'!$F$33)</f>
        <v>2573.1248450568246</v>
      </c>
      <c r="M49" s="107">
        <f>L49*(1+'Input Value'!$F$33)</f>
        <v>2598.8560935073929</v>
      </c>
      <c r="N49" s="107">
        <f>M49*(1+'Input Value'!$F$33)</f>
        <v>2624.8446544424669</v>
      </c>
    </row>
    <row r="50" spans="2:14" x14ac:dyDescent="0.25">
      <c r="B50" s="106" t="s">
        <v>362</v>
      </c>
      <c r="D50" s="134"/>
      <c r="E50" s="435">
        <f>SUM(E45:E49)</f>
        <v>238574.72326530612</v>
      </c>
      <c r="F50" s="435">
        <f t="shared" ref="F50:N50" si="6">SUM(F45:F49)</f>
        <v>240960.47049795918</v>
      </c>
      <c r="G50" s="435">
        <f t="shared" si="6"/>
        <v>243370.07520293875</v>
      </c>
      <c r="H50" s="435">
        <f t="shared" si="6"/>
        <v>245803.77595496815</v>
      </c>
      <c r="I50" s="435">
        <f t="shared" si="6"/>
        <v>248261.81371451783</v>
      </c>
      <c r="J50" s="435">
        <f t="shared" si="6"/>
        <v>250744.43185166302</v>
      </c>
      <c r="K50" s="435">
        <f t="shared" si="6"/>
        <v>253251.87617017966</v>
      </c>
      <c r="L50" s="435">
        <f t="shared" si="6"/>
        <v>255784.39493188143</v>
      </c>
      <c r="M50" s="435">
        <f t="shared" si="6"/>
        <v>258342.23888120029</v>
      </c>
      <c r="N50" s="435">
        <f t="shared" si="6"/>
        <v>260925.66127001229</v>
      </c>
    </row>
    <row r="51" spans="2:14" x14ac:dyDescent="0.25"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</row>
    <row r="52" spans="2:14" x14ac:dyDescent="0.25">
      <c r="B52" s="106" t="s">
        <v>361</v>
      </c>
      <c r="D52" s="107">
        <f>+D33+D43+D50</f>
        <v>613520</v>
      </c>
      <c r="E52" s="107">
        <f t="shared" ref="E52:N52" si="7">+E33+E43+E50</f>
        <v>3725466.6118028257</v>
      </c>
      <c r="F52" s="107">
        <f t="shared" si="7"/>
        <v>3734048.911035479</v>
      </c>
      <c r="G52" s="107">
        <f t="shared" si="7"/>
        <v>3742717.0332604586</v>
      </c>
      <c r="H52" s="107">
        <f t="shared" si="7"/>
        <v>3751471.8367076879</v>
      </c>
      <c r="I52" s="107">
        <f t="shared" si="7"/>
        <v>3760314.1881893896</v>
      </c>
      <c r="J52" s="107">
        <f t="shared" si="7"/>
        <v>3769244.9631859087</v>
      </c>
      <c r="K52" s="107">
        <f t="shared" si="7"/>
        <v>3778265.0459323926</v>
      </c>
      <c r="L52" s="107">
        <f t="shared" si="7"/>
        <v>3787375.3295063409</v>
      </c>
      <c r="M52" s="107">
        <f t="shared" si="7"/>
        <v>3796576.7159160292</v>
      </c>
      <c r="N52" s="107">
        <f t="shared" si="7"/>
        <v>3805870.1161898142</v>
      </c>
    </row>
    <row r="53" spans="2:14" x14ac:dyDescent="0.25"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2:14" x14ac:dyDescent="0.25">
      <c r="B54" s="108" t="s">
        <v>38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2:14" x14ac:dyDescent="0.25">
      <c r="B55" s="106" t="s">
        <v>39</v>
      </c>
      <c r="D55" s="107"/>
      <c r="E55" s="135">
        <f>+'Input Value'!F12*Depreciation!D33</f>
        <v>55296.31</v>
      </c>
      <c r="F55" s="107">
        <f>E55*(1+'Input Value'!$F$11)</f>
        <v>55849.273099999999</v>
      </c>
      <c r="G55" s="107">
        <f>F55*(1+'Input Value'!$F$11)</f>
        <v>56407.765830999997</v>
      </c>
      <c r="H55" s="107">
        <f>G55*(1+'Input Value'!$F$11)</f>
        <v>56971.843489309998</v>
      </c>
      <c r="I55" s="107">
        <f>H55*(1+'Input Value'!$F$11)</f>
        <v>57541.561924203095</v>
      </c>
      <c r="J55" s="107">
        <f>I55*(1+'Input Value'!$F$11)</f>
        <v>58116.977543445129</v>
      </c>
      <c r="K55" s="107">
        <f>J55*(1+'Input Value'!$F$11)</f>
        <v>58698.147318879579</v>
      </c>
      <c r="L55" s="107">
        <f>K55*(1+'Input Value'!$F$11)</f>
        <v>59285.128792068375</v>
      </c>
      <c r="M55" s="107">
        <f>L55*(1+'Input Value'!$F$11)</f>
        <v>59877.980079989058</v>
      </c>
      <c r="N55" s="107">
        <f>M55*(1+'Input Value'!$F$11)</f>
        <v>60476.759880788952</v>
      </c>
    </row>
    <row r="56" spans="2:14" x14ac:dyDescent="0.25"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2:14" x14ac:dyDescent="0.25">
      <c r="B57" s="106" t="s">
        <v>41</v>
      </c>
      <c r="D57" s="107"/>
      <c r="E57" s="135">
        <f>+'Input Value'!F13*Depreciation!D33</f>
        <v>55296.31</v>
      </c>
      <c r="F57" s="107">
        <f>E57*(1+'Input Value'!$F$11)</f>
        <v>55849.273099999999</v>
      </c>
      <c r="G57" s="107">
        <f>F57*(1+'Input Value'!$F$11)</f>
        <v>56407.765830999997</v>
      </c>
      <c r="H57" s="107">
        <f>G57*(1+'Input Value'!$F$11)</f>
        <v>56971.843489309998</v>
      </c>
      <c r="I57" s="107">
        <f>H57*(1+'Input Value'!$F$11)</f>
        <v>57541.561924203095</v>
      </c>
      <c r="J57" s="107">
        <f>I57*(1+'Input Value'!$F$11)</f>
        <v>58116.977543445129</v>
      </c>
      <c r="K57" s="107">
        <f>J57*(1+'Input Value'!$F$11)</f>
        <v>58698.147318879579</v>
      </c>
      <c r="L57" s="107">
        <f>K57*(1+'Input Value'!$F$11)</f>
        <v>59285.128792068375</v>
      </c>
      <c r="M57" s="107">
        <f>L57*(1+'Input Value'!$F$11)</f>
        <v>59877.980079989058</v>
      </c>
      <c r="N57" s="107">
        <f>M57*(1+'Input Value'!$F$11)</f>
        <v>60476.759880788952</v>
      </c>
    </row>
    <row r="58" spans="2:14" x14ac:dyDescent="0.25"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</row>
    <row r="59" spans="2:14" x14ac:dyDescent="0.25">
      <c r="B59" s="106" t="s">
        <v>40</v>
      </c>
      <c r="D59" s="107"/>
      <c r="E59" s="135">
        <f>'Input Value'!F13*Depreciation!D35</f>
        <v>56296.31</v>
      </c>
      <c r="F59" s="107">
        <f>E59*(1+'Input Value'!$F$11)</f>
        <v>56859.273099999999</v>
      </c>
      <c r="G59" s="107">
        <f>F59*(1+'Input Value'!$F$11)</f>
        <v>57427.865830999996</v>
      </c>
      <c r="H59" s="107">
        <f>G59*(1+'Input Value'!$F$11)</f>
        <v>58002.144489309998</v>
      </c>
      <c r="I59" s="107">
        <f>H59*(1+'Input Value'!$F$11)</f>
        <v>58582.165934203098</v>
      </c>
      <c r="J59" s="107">
        <f>I59*(1+'Input Value'!$F$11)</f>
        <v>59167.987593545127</v>
      </c>
      <c r="K59" s="107">
        <f>J59*(1+'Input Value'!$F$11)</f>
        <v>59759.667469480577</v>
      </c>
      <c r="L59" s="107">
        <f>K59*(1+'Input Value'!$F$11)</f>
        <v>60357.26414417538</v>
      </c>
      <c r="M59" s="107">
        <f>L59*(1+'Input Value'!$F$11)</f>
        <v>60960.836785617132</v>
      </c>
      <c r="N59" s="107">
        <f>M59*(1+'Input Value'!$F$11)</f>
        <v>61570.445153473302</v>
      </c>
    </row>
    <row r="60" spans="2:14" x14ac:dyDescent="0.25"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</row>
    <row r="61" spans="2:14" x14ac:dyDescent="0.25">
      <c r="B61" s="106" t="s">
        <v>47</v>
      </c>
      <c r="D61" s="107"/>
      <c r="E61" s="107">
        <f>Depreciation!C45</f>
        <v>599982.38957435905</v>
      </c>
      <c r="F61" s="107">
        <f>Depreciation!D45</f>
        <v>986042.89757435897</v>
      </c>
      <c r="G61" s="107">
        <f>Depreciation!E45</f>
        <v>701459.12557435897</v>
      </c>
      <c r="H61" s="107">
        <f>Depreciation!F45</f>
        <v>387756.93197435903</v>
      </c>
      <c r="I61" s="107">
        <f>Depreciation!G45</f>
        <v>387429.06057435897</v>
      </c>
      <c r="J61" s="107">
        <f>Depreciation!H45</f>
        <v>362973.72557435906</v>
      </c>
      <c r="K61" s="107">
        <f>Depreciation!I45</f>
        <v>191632.00337435896</v>
      </c>
      <c r="L61" s="107">
        <f>Depreciation!J45</f>
        <v>45401.358974358976</v>
      </c>
      <c r="M61" s="107">
        <f>Depreciation!K45</f>
        <v>45401.358974358976</v>
      </c>
      <c r="N61" s="107">
        <f>Depreciation!L45</f>
        <v>45401.358974358976</v>
      </c>
    </row>
    <row r="62" spans="2:14" x14ac:dyDescent="0.25"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  <row r="63" spans="2:14" x14ac:dyDescent="0.25">
      <c r="B63" s="106" t="s">
        <v>19</v>
      </c>
      <c r="D63" s="107"/>
      <c r="E63" s="107">
        <f>+'Loan Amortization'!C31</f>
        <v>311636.37240291992</v>
      </c>
      <c r="F63" s="107">
        <f>+'Loan Amortization'!D31</f>
        <v>296713.78409160062</v>
      </c>
      <c r="G63" s="107">
        <f>+'Loan Amortization'!E31</f>
        <v>280672.00165693241</v>
      </c>
      <c r="H63" s="107">
        <f>+'Loan Amortization'!F31</f>
        <v>263427.08553966403</v>
      </c>
      <c r="I63" s="107">
        <f>+'Loan Amortization'!G31</f>
        <v>244888.80071360047</v>
      </c>
      <c r="J63" s="107">
        <f>+'Loan Amortization'!H31</f>
        <v>224960.1445255822</v>
      </c>
      <c r="K63" s="107">
        <f>+'Loan Amortization'!I31</f>
        <v>203536.83912346256</v>
      </c>
      <c r="L63" s="107">
        <f>+'Loan Amortization'!J31</f>
        <v>180506.78581618392</v>
      </c>
      <c r="M63" s="107">
        <f>+'Loan Amortization'!K31</f>
        <v>155749.47851085942</v>
      </c>
      <c r="N63" s="107">
        <f>+'Loan Amortization'!L31</f>
        <v>129135.37315763555</v>
      </c>
    </row>
    <row r="64" spans="2:14" x14ac:dyDescent="0.25"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</row>
    <row r="65" spans="2:21" x14ac:dyDescent="0.25"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</row>
    <row r="66" spans="2:21" x14ac:dyDescent="0.25">
      <c r="B66" s="25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</row>
    <row r="67" spans="2:21" x14ac:dyDescent="0.25">
      <c r="B67" s="106" t="s">
        <v>50</v>
      </c>
      <c r="D67" s="134"/>
      <c r="E67" s="339">
        <f>SUM(E55:E66)</f>
        <v>1078507.691977279</v>
      </c>
      <c r="F67" s="339">
        <f t="shared" ref="F67:N67" si="8">SUM(F55:F66)</f>
        <v>1451314.5009659596</v>
      </c>
      <c r="G67" s="339">
        <f t="shared" si="8"/>
        <v>1152374.5247242914</v>
      </c>
      <c r="H67" s="339">
        <f t="shared" si="8"/>
        <v>823129.84898195311</v>
      </c>
      <c r="I67" s="339">
        <f t="shared" si="8"/>
        <v>805983.15107056871</v>
      </c>
      <c r="J67" s="339">
        <f t="shared" si="8"/>
        <v>763335.81278037664</v>
      </c>
      <c r="K67" s="339">
        <f t="shared" si="8"/>
        <v>572324.80460506119</v>
      </c>
      <c r="L67" s="339">
        <f t="shared" si="8"/>
        <v>404835.66651885503</v>
      </c>
      <c r="M67" s="339">
        <f t="shared" si="8"/>
        <v>381867.6344308136</v>
      </c>
      <c r="N67" s="339">
        <f t="shared" si="8"/>
        <v>357060.69704704575</v>
      </c>
    </row>
    <row r="68" spans="2:21" x14ac:dyDescent="0.25"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2:21" x14ac:dyDescent="0.25"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21" x14ac:dyDescent="0.25">
      <c r="B70" s="38" t="s">
        <v>365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21" x14ac:dyDescent="0.25">
      <c r="B71" s="106" t="s">
        <v>42</v>
      </c>
      <c r="D71" s="129"/>
      <c r="E71" s="210">
        <v>0</v>
      </c>
      <c r="F71" s="210">
        <v>0</v>
      </c>
      <c r="G71" s="129">
        <f>+F71*(1+'Input Value'!$F$11)</f>
        <v>0</v>
      </c>
      <c r="H71" s="129">
        <f>+G71*(1+'Input Value'!$F$11)</f>
        <v>0</v>
      </c>
      <c r="I71" s="129">
        <f>+H71*(1+'Input Value'!$F$11)</f>
        <v>0</v>
      </c>
      <c r="J71" s="129">
        <f>+I71*(1+'Input Value'!$F$11)</f>
        <v>0</v>
      </c>
      <c r="K71" s="129">
        <f>+J71*(1+'Input Value'!$F$11)</f>
        <v>0</v>
      </c>
      <c r="L71" s="129">
        <f>+K71*(1+'Input Value'!$F$11)</f>
        <v>0</v>
      </c>
      <c r="M71" s="129">
        <f>+L71*(1+'Input Value'!$F$11)</f>
        <v>0</v>
      </c>
      <c r="N71" s="129">
        <f>+M71*(1+'Input Value'!$F$11)</f>
        <v>0</v>
      </c>
      <c r="O71" s="58"/>
      <c r="P71" s="58"/>
      <c r="Q71" s="58"/>
      <c r="R71" s="58"/>
      <c r="S71" s="58"/>
      <c r="T71" s="58"/>
      <c r="U71" s="58"/>
    </row>
    <row r="72" spans="2:21" x14ac:dyDescent="0.25">
      <c r="D72" s="129"/>
      <c r="E72" s="210" t="s">
        <v>130</v>
      </c>
      <c r="F72" s="210"/>
      <c r="G72" s="129"/>
      <c r="H72" s="129"/>
      <c r="I72" s="129"/>
      <c r="J72" s="129"/>
      <c r="K72" s="129"/>
      <c r="L72" s="129"/>
      <c r="M72" s="129"/>
      <c r="N72" s="129"/>
      <c r="O72" s="58"/>
      <c r="P72" s="58"/>
      <c r="Q72" s="58"/>
      <c r="R72" s="58"/>
      <c r="S72" s="58"/>
      <c r="T72" s="58"/>
      <c r="U72" s="58"/>
    </row>
    <row r="73" spans="2:21" x14ac:dyDescent="0.25">
      <c r="B73" s="106" t="s">
        <v>49</v>
      </c>
      <c r="D73" s="129"/>
      <c r="E73" s="210">
        <v>0</v>
      </c>
      <c r="F73" s="210">
        <v>0</v>
      </c>
      <c r="G73" s="129">
        <f>+F73*(1+'Input Value'!$F$11)</f>
        <v>0</v>
      </c>
      <c r="H73" s="129">
        <f>+G73*(1+'Input Value'!$F$11)</f>
        <v>0</v>
      </c>
      <c r="I73" s="129">
        <f>+H73*(1+'Input Value'!$F$11)</f>
        <v>0</v>
      </c>
      <c r="J73" s="129">
        <f>+I73*(1+'Input Value'!$F$11)</f>
        <v>0</v>
      </c>
      <c r="K73" s="129">
        <f>+J73*(1+'Input Value'!$F$11)</f>
        <v>0</v>
      </c>
      <c r="L73" s="129">
        <f>+K73*(1+'Input Value'!$F$11)</f>
        <v>0</v>
      </c>
      <c r="M73" s="129">
        <f>+L73*(1+'Input Value'!$F$11)</f>
        <v>0</v>
      </c>
      <c r="N73" s="129">
        <f>+M73*(1+'Input Value'!$F$11)</f>
        <v>0</v>
      </c>
      <c r="O73" s="58"/>
      <c r="P73" s="58"/>
      <c r="Q73" s="58"/>
      <c r="R73" s="58"/>
      <c r="S73" s="58"/>
      <c r="T73" s="58"/>
      <c r="U73" s="58"/>
    </row>
    <row r="74" spans="2:21" x14ac:dyDescent="0.25"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21" x14ac:dyDescent="0.25">
      <c r="B75" s="106" t="s">
        <v>364</v>
      </c>
      <c r="D75" s="134"/>
      <c r="E75" s="134">
        <f t="shared" ref="E75:M75" si="9">SUM(E71,E73)</f>
        <v>0</v>
      </c>
      <c r="F75" s="134">
        <f t="shared" si="9"/>
        <v>0</v>
      </c>
      <c r="G75" s="134">
        <f t="shared" si="9"/>
        <v>0</v>
      </c>
      <c r="H75" s="134">
        <f t="shared" si="9"/>
        <v>0</v>
      </c>
      <c r="I75" s="134">
        <f t="shared" si="9"/>
        <v>0</v>
      </c>
      <c r="J75" s="134">
        <f t="shared" si="9"/>
        <v>0</v>
      </c>
      <c r="K75" s="134">
        <f t="shared" si="9"/>
        <v>0</v>
      </c>
      <c r="L75" s="134">
        <f t="shared" si="9"/>
        <v>0</v>
      </c>
      <c r="M75" s="134">
        <f t="shared" si="9"/>
        <v>0</v>
      </c>
      <c r="N75" s="134">
        <f>SUM(N71,N73)</f>
        <v>0</v>
      </c>
    </row>
    <row r="76" spans="2:21" x14ac:dyDescent="0.25"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</row>
    <row r="77" spans="2:21" x14ac:dyDescent="0.25">
      <c r="B77" s="106" t="s">
        <v>51</v>
      </c>
      <c r="D77" s="134"/>
      <c r="E77" s="134">
        <f>E52+E67+E75</f>
        <v>4803974.303780105</v>
      </c>
      <c r="F77" s="134">
        <f t="shared" ref="F77:N77" si="10">F52+F67+F75</f>
        <v>5185363.4120014384</v>
      </c>
      <c r="G77" s="134">
        <f t="shared" si="10"/>
        <v>4895091.5579847498</v>
      </c>
      <c r="H77" s="134">
        <f t="shared" si="10"/>
        <v>4574601.6856896412</v>
      </c>
      <c r="I77" s="134">
        <f t="shared" si="10"/>
        <v>4566297.3392599579</v>
      </c>
      <c r="J77" s="134">
        <f t="shared" si="10"/>
        <v>4532580.7759662857</v>
      </c>
      <c r="K77" s="134">
        <f t="shared" si="10"/>
        <v>4350589.8505374538</v>
      </c>
      <c r="L77" s="134">
        <f t="shared" si="10"/>
        <v>4192210.9960251958</v>
      </c>
      <c r="M77" s="134">
        <f t="shared" si="10"/>
        <v>4178444.3503468428</v>
      </c>
      <c r="N77" s="134">
        <f t="shared" si="10"/>
        <v>4162930.8132368601</v>
      </c>
    </row>
    <row r="78" spans="2:21" x14ac:dyDescent="0.25">
      <c r="M78" s="29"/>
      <c r="N78" s="112"/>
    </row>
    <row r="79" spans="2:21" x14ac:dyDescent="0.25">
      <c r="M79" s="29"/>
      <c r="N79" s="112"/>
    </row>
    <row r="80" spans="2:21" x14ac:dyDescent="0.25">
      <c r="M80" s="29"/>
      <c r="N80" s="112"/>
    </row>
    <row r="81" spans="5:14" x14ac:dyDescent="0.25">
      <c r="E81" s="107"/>
      <c r="M81" s="29"/>
      <c r="N81" s="112"/>
    </row>
    <row r="82" spans="5:14" x14ac:dyDescent="0.25">
      <c r="M82" s="29"/>
      <c r="N82" s="112"/>
    </row>
    <row r="83" spans="5:14" x14ac:dyDescent="0.25">
      <c r="M83" s="29"/>
      <c r="N83" s="112"/>
    </row>
    <row r="84" spans="5:14" x14ac:dyDescent="0.25">
      <c r="M84" s="29"/>
      <c r="N84" s="112"/>
    </row>
  </sheetData>
  <sheetProtection scenarios="1"/>
  <mergeCells count="3">
    <mergeCell ref="B2:C2"/>
    <mergeCell ref="B3:C3"/>
    <mergeCell ref="B4:C4"/>
  </mergeCells>
  <phoneticPr fontId="0" type="noConversion"/>
  <hyperlinks>
    <hyperlink ref="B3" location="'Input Value'!A1" display="BACK TO INPUTS"/>
    <hyperlink ref="B4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9" workbookViewId="0">
      <selection activeCell="A7" sqref="A7:B46"/>
    </sheetView>
  </sheetViews>
  <sheetFormatPr defaultRowHeight="13.2" x14ac:dyDescent="0.25"/>
  <cols>
    <col min="1" max="1" width="32.6640625" customWidth="1"/>
    <col min="2" max="2" width="12.33203125" bestFit="1" customWidth="1"/>
  </cols>
  <sheetData>
    <row r="1" spans="1:11" x14ac:dyDescent="0.25">
      <c r="A1" s="377" t="s">
        <v>183</v>
      </c>
    </row>
    <row r="2" spans="1:11" x14ac:dyDescent="0.25">
      <c r="A2" s="378" t="s">
        <v>375</v>
      </c>
    </row>
    <row r="3" spans="1:11" x14ac:dyDescent="0.25">
      <c r="A3" s="378" t="s">
        <v>177</v>
      </c>
    </row>
    <row r="5" spans="1:11" x14ac:dyDescent="0.25">
      <c r="A5" t="s">
        <v>343</v>
      </c>
      <c r="C5" t="s">
        <v>370</v>
      </c>
    </row>
    <row r="7" spans="1:11" x14ac:dyDescent="0.25">
      <c r="A7" s="1" t="s">
        <v>395</v>
      </c>
      <c r="B7" s="1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</row>
    <row r="8" spans="1:11" x14ac:dyDescent="0.25">
      <c r="A8" t="s">
        <v>260</v>
      </c>
      <c r="B8" s="7">
        <f>+'Market Projection'!E10/'Market Projection'!E$5</f>
        <v>36.535714285714285</v>
      </c>
      <c r="C8" s="7">
        <f>+'Market Projection'!F10/'Market Projection'!F$5</f>
        <v>36.535714285714285</v>
      </c>
      <c r="D8" s="7">
        <f>+'Market Projection'!G10/'Market Projection'!G$5</f>
        <v>36.535714285714285</v>
      </c>
      <c r="E8" s="7">
        <f>+'Market Projection'!H10/'Market Projection'!H$5</f>
        <v>36.535714285714285</v>
      </c>
      <c r="F8" s="7">
        <f>+'Market Projection'!I10/'Market Projection'!I$5</f>
        <v>36.535714285714285</v>
      </c>
      <c r="G8" s="7">
        <f>+'Market Projection'!J10/'Market Projection'!J$5</f>
        <v>36.535714285714285</v>
      </c>
      <c r="H8" s="7">
        <f>+'Market Projection'!K10/'Market Projection'!K$5</f>
        <v>36.535714285714285</v>
      </c>
      <c r="I8" s="7">
        <f>+'Market Projection'!L10/'Market Projection'!L$5</f>
        <v>36.535714285714285</v>
      </c>
      <c r="J8" s="7">
        <f>+'Market Projection'!M10/'Market Projection'!M$5</f>
        <v>36.535714285714285</v>
      </c>
      <c r="K8" s="7">
        <f>+'Market Projection'!N10/'Market Projection'!N$5</f>
        <v>36.535714285714285</v>
      </c>
    </row>
    <row r="9" spans="1:11" x14ac:dyDescent="0.25">
      <c r="A9" t="s">
        <v>277</v>
      </c>
      <c r="B9" s="7">
        <f>+'Market Projection'!E11/'Market Projection'!E$5</f>
        <v>7.5</v>
      </c>
      <c r="C9" s="7">
        <f>+'Market Projection'!F11/'Market Projection'!F$5</f>
        <v>7.5</v>
      </c>
      <c r="D9" s="7">
        <f>+'Market Projection'!G11/'Market Projection'!G$5</f>
        <v>7.5</v>
      </c>
      <c r="E9" s="7">
        <f>+'Market Projection'!H11/'Market Projection'!H$5</f>
        <v>7.5</v>
      </c>
      <c r="F9" s="7">
        <f>+'Market Projection'!I11/'Market Projection'!I$5</f>
        <v>7.5</v>
      </c>
      <c r="G9" s="7">
        <f>+'Market Projection'!J11/'Market Projection'!J$5</f>
        <v>7.5</v>
      </c>
      <c r="H9" s="7">
        <f>+'Market Projection'!K11/'Market Projection'!K$5</f>
        <v>7.5</v>
      </c>
      <c r="I9" s="7">
        <f>+'Market Projection'!L11/'Market Projection'!L$5</f>
        <v>7.5</v>
      </c>
      <c r="J9" s="7">
        <f>+'Market Projection'!M11/'Market Projection'!M$5</f>
        <v>7.5</v>
      </c>
      <c r="K9" s="7">
        <f>+'Market Projection'!N11/'Market Projection'!N$5</f>
        <v>7.5</v>
      </c>
    </row>
    <row r="10" spans="1:11" x14ac:dyDescent="0.25">
      <c r="A10" t="s">
        <v>261</v>
      </c>
      <c r="B10" s="7">
        <f>+'Market Projection'!E12/'Market Projection'!E$5</f>
        <v>8</v>
      </c>
      <c r="C10" s="7">
        <f>+'Market Projection'!F12/'Market Projection'!F$5</f>
        <v>8</v>
      </c>
      <c r="D10" s="7">
        <f>+'Market Projection'!G12/'Market Projection'!G$5</f>
        <v>8</v>
      </c>
      <c r="E10" s="7">
        <f>+'Market Projection'!H12/'Market Projection'!H$5</f>
        <v>8</v>
      </c>
      <c r="F10" s="7">
        <f>+'Market Projection'!I12/'Market Projection'!I$5</f>
        <v>8</v>
      </c>
      <c r="G10" s="7">
        <f>+'Market Projection'!J12/'Market Projection'!J$5</f>
        <v>8</v>
      </c>
      <c r="H10" s="7">
        <f>+'Market Projection'!K12/'Market Projection'!K$5</f>
        <v>8</v>
      </c>
      <c r="I10" s="7">
        <f>+'Market Projection'!L12/'Market Projection'!L$5</f>
        <v>8</v>
      </c>
      <c r="J10" s="7">
        <f>+'Market Projection'!M12/'Market Projection'!M$5</f>
        <v>8</v>
      </c>
      <c r="K10" s="7">
        <f>+'Market Projection'!N12/'Market Projection'!N$5</f>
        <v>8</v>
      </c>
    </row>
    <row r="11" spans="1:11" x14ac:dyDescent="0.25">
      <c r="A11" s="278" t="s">
        <v>263</v>
      </c>
      <c r="B11" s="7">
        <f>+'Market Projection'!E13/'Market Projection'!E$5</f>
        <v>52.833333333333357</v>
      </c>
      <c r="C11" s="7">
        <f>+'Market Projection'!F13/'Market Projection'!F$5</f>
        <v>52.833333333333357</v>
      </c>
      <c r="D11" s="7">
        <f>+'Market Projection'!G13/'Market Projection'!G$5</f>
        <v>52.833333333333357</v>
      </c>
      <c r="E11" s="7">
        <f>+'Market Projection'!H13/'Market Projection'!H$5</f>
        <v>52.833333333333357</v>
      </c>
      <c r="F11" s="7">
        <f>+'Market Projection'!I13/'Market Projection'!I$5</f>
        <v>52.833333333333357</v>
      </c>
      <c r="G11" s="7">
        <f>+'Market Projection'!J13/'Market Projection'!J$5</f>
        <v>52.833333333333357</v>
      </c>
      <c r="H11" s="7">
        <f>+'Market Projection'!K13/'Market Projection'!K$5</f>
        <v>52.833333333333357</v>
      </c>
      <c r="I11" s="7">
        <f>+'Market Projection'!L13/'Market Projection'!L$5</f>
        <v>52.833333333333357</v>
      </c>
      <c r="J11" s="7">
        <f>+'Market Projection'!M13/'Market Projection'!M$5</f>
        <v>52.833333333333357</v>
      </c>
      <c r="K11" s="7">
        <f>+'Market Projection'!N13/'Market Projection'!N$5</f>
        <v>52.833333333333357</v>
      </c>
    </row>
    <row r="12" spans="1:11" x14ac:dyDescent="0.25">
      <c r="A12" s="278" t="s">
        <v>403</v>
      </c>
      <c r="B12" s="31">
        <f>-'Expense Projection'!E$39/'Market Projection'!E$5</f>
        <v>-49.059523809523824</v>
      </c>
      <c r="C12" s="31">
        <f>-'Expense Projection'!F$39/'Market Projection'!F$5</f>
        <v>-49.059523809523824</v>
      </c>
      <c r="D12" s="31">
        <f>-'Expense Projection'!G$39/'Market Projection'!G$5</f>
        <v>-49.059523809523824</v>
      </c>
      <c r="E12" s="31">
        <f>-'Expense Projection'!H$39/'Market Projection'!H$5</f>
        <v>-49.059523809523824</v>
      </c>
      <c r="F12" s="31">
        <f>-'Expense Projection'!I$39/'Market Projection'!I$5</f>
        <v>-49.059523809523824</v>
      </c>
      <c r="G12" s="31">
        <f>-'Expense Projection'!J$39/'Market Projection'!J$5</f>
        <v>-49.059523809523824</v>
      </c>
      <c r="H12" s="31">
        <f>-'Expense Projection'!K$39/'Market Projection'!K$5</f>
        <v>-49.059523809523824</v>
      </c>
      <c r="I12" s="31">
        <f>-'Expense Projection'!L$39/'Market Projection'!L$5</f>
        <v>-49.059523809523824</v>
      </c>
      <c r="J12" s="31">
        <f>-'Expense Projection'!M$39/'Market Projection'!M$5</f>
        <v>-49.059523809523824</v>
      </c>
      <c r="K12" s="31">
        <f>-'Expense Projection'!N$39/'Market Projection'!N$5</f>
        <v>-49.059523809523824</v>
      </c>
    </row>
    <row r="13" spans="1:11" x14ac:dyDescent="0.25">
      <c r="A13" s="278" t="s">
        <v>262</v>
      </c>
      <c r="B13" s="7">
        <f>+'Market Projection'!E14/'Market Projection'!E$5</f>
        <v>3.4813186813186809</v>
      </c>
      <c r="C13" s="7">
        <f>+'Market Projection'!F14/'Market Projection'!F$5</f>
        <v>3.4813186813186809</v>
      </c>
      <c r="D13" s="7">
        <f>+'Market Projection'!G14/'Market Projection'!G$5</f>
        <v>3.4813186813186809</v>
      </c>
      <c r="E13" s="7">
        <f>+'Market Projection'!H14/'Market Projection'!H$5</f>
        <v>3.4813186813186809</v>
      </c>
      <c r="F13" s="7">
        <f>+'Market Projection'!I14/'Market Projection'!I$5</f>
        <v>3.4813186813186809</v>
      </c>
      <c r="G13" s="7">
        <f>+'Market Projection'!J14/'Market Projection'!J$5</f>
        <v>3.4813186813186809</v>
      </c>
      <c r="H13" s="7">
        <f>+'Market Projection'!K14/'Market Projection'!K$5</f>
        <v>3.4813186813186809</v>
      </c>
      <c r="I13" s="7">
        <f>+'Market Projection'!L14/'Market Projection'!L$5</f>
        <v>3.4813186813186809</v>
      </c>
      <c r="J13" s="7">
        <f>+'Market Projection'!M14/'Market Projection'!M$5</f>
        <v>3.4813186813186809</v>
      </c>
      <c r="K13" s="7">
        <f>+'Market Projection'!N14/'Market Projection'!N$5</f>
        <v>3.4813186813186809</v>
      </c>
    </row>
    <row r="14" spans="1:11" x14ac:dyDescent="0.25">
      <c r="A14" s="278" t="s">
        <v>356</v>
      </c>
      <c r="B14" s="7">
        <f>+'Market Projection'!E15/'Market Projection'!E$5</f>
        <v>3.5000000000000004</v>
      </c>
      <c r="C14" s="7">
        <f>+'Market Projection'!F15/'Market Projection'!F$5</f>
        <v>3.5000000000000004</v>
      </c>
      <c r="D14" s="7">
        <f>+'Market Projection'!G15/'Market Projection'!G$5</f>
        <v>3.5000000000000004</v>
      </c>
      <c r="E14" s="7">
        <f>+'Market Projection'!H15/'Market Projection'!H$5</f>
        <v>3.5000000000000004</v>
      </c>
      <c r="F14" s="7">
        <f>+'Market Projection'!I15/'Market Projection'!I$5</f>
        <v>3.5000000000000004</v>
      </c>
      <c r="G14" s="7">
        <f>+'Market Projection'!J15/'Market Projection'!J$5</f>
        <v>3.5000000000000004</v>
      </c>
      <c r="H14" s="7">
        <f>+'Market Projection'!K15/'Market Projection'!K$5</f>
        <v>3.5000000000000004</v>
      </c>
      <c r="I14" s="7">
        <f>+'Market Projection'!L15/'Market Projection'!L$5</f>
        <v>3.5000000000000004</v>
      </c>
      <c r="J14" s="7">
        <f>+'Market Projection'!M15/'Market Projection'!M$5</f>
        <v>3.5000000000000004</v>
      </c>
      <c r="K14" s="7">
        <f>+'Market Projection'!N15/'Market Projection'!N$5</f>
        <v>3.5000000000000004</v>
      </c>
    </row>
    <row r="15" spans="1:11" x14ac:dyDescent="0.25">
      <c r="A15" s="278" t="s">
        <v>355</v>
      </c>
      <c r="B15" s="7">
        <f>+'Market Projection'!E16/'Market Projection'!E$5</f>
        <v>10</v>
      </c>
      <c r="C15" s="7">
        <f>+'Market Projection'!F16/'Market Projection'!F$5</f>
        <v>10</v>
      </c>
      <c r="D15" s="7">
        <f>+'Market Projection'!G16/'Market Projection'!G$5</f>
        <v>10</v>
      </c>
      <c r="E15" s="7">
        <f>+'Market Projection'!H16/'Market Projection'!H$5</f>
        <v>10</v>
      </c>
      <c r="F15" s="7">
        <f>+'Market Projection'!I16/'Market Projection'!I$5</f>
        <v>10</v>
      </c>
      <c r="G15" s="7">
        <f>+'Market Projection'!J16/'Market Projection'!J$5</f>
        <v>10</v>
      </c>
      <c r="H15" s="7">
        <f>+'Market Projection'!K16/'Market Projection'!K$5</f>
        <v>10</v>
      </c>
      <c r="I15" s="7">
        <f>+'Market Projection'!L16/'Market Projection'!L$5</f>
        <v>10</v>
      </c>
      <c r="J15" s="7">
        <f>+'Market Projection'!M16/'Market Projection'!M$5</f>
        <v>10</v>
      </c>
      <c r="K15" s="7">
        <f>+'Market Projection'!N16/'Market Projection'!N$5</f>
        <v>10</v>
      </c>
    </row>
    <row r="16" spans="1:11" x14ac:dyDescent="0.25">
      <c r="A16" s="1" t="s">
        <v>396</v>
      </c>
      <c r="B16" s="7">
        <f>SUM(B8:B15)</f>
        <v>72.790842490842508</v>
      </c>
      <c r="C16" s="7">
        <f t="shared" ref="C16:K16" si="0">SUM(C8:C15)</f>
        <v>72.790842490842508</v>
      </c>
      <c r="D16" s="7">
        <f t="shared" si="0"/>
        <v>72.790842490842508</v>
      </c>
      <c r="E16" s="7">
        <f t="shared" si="0"/>
        <v>72.790842490842508</v>
      </c>
      <c r="F16" s="7">
        <f t="shared" si="0"/>
        <v>72.790842490842508</v>
      </c>
      <c r="G16" s="7">
        <f t="shared" si="0"/>
        <v>72.790842490842508</v>
      </c>
      <c r="H16" s="7">
        <f t="shared" si="0"/>
        <v>72.790842490842508</v>
      </c>
      <c r="I16" s="7">
        <f t="shared" si="0"/>
        <v>72.790842490842508</v>
      </c>
      <c r="J16" s="7">
        <f t="shared" si="0"/>
        <v>72.790842490842508</v>
      </c>
      <c r="K16" s="7">
        <f t="shared" si="0"/>
        <v>72.790842490842508</v>
      </c>
    </row>
    <row r="17" spans="1:11" x14ac:dyDescent="0.25">
      <c r="A17" s="1"/>
      <c r="B17" s="7"/>
    </row>
    <row r="18" spans="1:11" x14ac:dyDescent="0.25">
      <c r="A18" s="133" t="s">
        <v>101</v>
      </c>
      <c r="B18" s="7"/>
    </row>
    <row r="19" spans="1:11" x14ac:dyDescent="0.25">
      <c r="A19" s="145" t="s">
        <v>211</v>
      </c>
      <c r="B19" s="31">
        <f>+'Expense Projection'!E37/'Market Projection'!E$5</f>
        <v>5</v>
      </c>
      <c r="C19" s="31">
        <f>+'Expense Projection'!F37/'Market Projection'!F$5</f>
        <v>5</v>
      </c>
      <c r="D19" s="31">
        <f>+'Expense Projection'!G37/'Market Projection'!G$5</f>
        <v>5</v>
      </c>
      <c r="E19" s="31">
        <f>+'Expense Projection'!H37/'Market Projection'!H$5</f>
        <v>5</v>
      </c>
      <c r="F19" s="31">
        <f>+'Expense Projection'!I37/'Market Projection'!I$5</f>
        <v>5</v>
      </c>
      <c r="G19" s="31">
        <f>+'Expense Projection'!J37/'Market Projection'!J$5</f>
        <v>5</v>
      </c>
      <c r="H19" s="31">
        <f>+'Expense Projection'!K37/'Market Projection'!K$5</f>
        <v>5</v>
      </c>
      <c r="I19" s="31">
        <f>+'Expense Projection'!L37/'Market Projection'!L$5</f>
        <v>5</v>
      </c>
      <c r="J19" s="31">
        <f>+'Expense Projection'!M37/'Market Projection'!M$5</f>
        <v>5</v>
      </c>
      <c r="K19" s="31">
        <f>+'Expense Projection'!N37/'Market Projection'!N$5</f>
        <v>5</v>
      </c>
    </row>
    <row r="20" spans="1:11" x14ac:dyDescent="0.25">
      <c r="A20" s="145" t="s">
        <v>299</v>
      </c>
      <c r="B20" s="31">
        <f>+'Expense Projection'!E40/'Market Projection'!E$5</f>
        <v>2.7818901098901101</v>
      </c>
      <c r="C20" s="31">
        <f>+'Expense Projection'!F40/'Market Projection'!F$5</f>
        <v>2.7818901098901101</v>
      </c>
      <c r="D20" s="31">
        <f>+'Expense Projection'!G40/'Market Projection'!G$5</f>
        <v>2.7818901098901101</v>
      </c>
      <c r="E20" s="31">
        <f>+'Expense Projection'!H40/'Market Projection'!H$5</f>
        <v>2.7818901098901101</v>
      </c>
      <c r="F20" s="31">
        <f>+'Expense Projection'!I40/'Market Projection'!I$5</f>
        <v>2.7818901098901101</v>
      </c>
      <c r="G20" s="31">
        <f>+'Expense Projection'!J40/'Market Projection'!J$5</f>
        <v>2.7818901098901101</v>
      </c>
      <c r="H20" s="31">
        <f>+'Expense Projection'!K40/'Market Projection'!K$5</f>
        <v>2.7818901098901101</v>
      </c>
      <c r="I20" s="31">
        <f>+'Expense Projection'!L40/'Market Projection'!L$5</f>
        <v>2.7818901098901101</v>
      </c>
      <c r="J20" s="31">
        <f>+'Expense Projection'!M40/'Market Projection'!M$5</f>
        <v>2.7818901098901101</v>
      </c>
      <c r="K20" s="31">
        <f>+'Expense Projection'!N40/'Market Projection'!N$5</f>
        <v>2.7818901098901101</v>
      </c>
    </row>
    <row r="21" spans="1:11" x14ac:dyDescent="0.25">
      <c r="A21" s="145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106" t="s">
        <v>363</v>
      </c>
      <c r="B22" s="31">
        <f>SUM(B19:B21)</f>
        <v>7.7818901098901101</v>
      </c>
      <c r="C22" s="31">
        <f t="shared" ref="C22:K22" si="1">SUM(C19:C21)</f>
        <v>7.7818901098901101</v>
      </c>
      <c r="D22" s="31">
        <f t="shared" si="1"/>
        <v>7.7818901098901101</v>
      </c>
      <c r="E22" s="31">
        <f t="shared" si="1"/>
        <v>7.7818901098901101</v>
      </c>
      <c r="F22" s="31">
        <f t="shared" si="1"/>
        <v>7.7818901098901101</v>
      </c>
      <c r="G22" s="31">
        <f t="shared" si="1"/>
        <v>7.7818901098901101</v>
      </c>
      <c r="H22" s="31">
        <f t="shared" si="1"/>
        <v>7.7818901098901101</v>
      </c>
      <c r="I22" s="31">
        <f t="shared" si="1"/>
        <v>7.7818901098901101</v>
      </c>
      <c r="J22" s="31">
        <f t="shared" si="1"/>
        <v>7.7818901098901101</v>
      </c>
      <c r="K22" s="31">
        <f t="shared" si="1"/>
        <v>7.7818901098901101</v>
      </c>
    </row>
    <row r="23" spans="1:11" x14ac:dyDescent="0.25">
      <c r="A23" s="106"/>
    </row>
    <row r="24" spans="1:11" x14ac:dyDescent="0.25">
      <c r="A24" s="1" t="s">
        <v>397</v>
      </c>
      <c r="B24" s="278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  <c r="J24">
        <v>9</v>
      </c>
      <c r="K24">
        <v>10</v>
      </c>
    </row>
    <row r="25" spans="1:11" x14ac:dyDescent="0.25">
      <c r="A25" s="278" t="s">
        <v>392</v>
      </c>
      <c r="B25" s="430">
        <f>+'Expense Projection'!D13/'Market Projection'!E5</f>
        <v>5.4298774784885904</v>
      </c>
      <c r="C25" s="430">
        <f>+'Expense Projection'!E13/'Market Projection'!F5</f>
        <v>5.4841762532734757</v>
      </c>
      <c r="D25" s="430">
        <f>+'Expense Projection'!F13/'Market Projection'!G5</f>
        <v>5.5390180158062101</v>
      </c>
      <c r="E25" s="430">
        <f>+'Expense Projection'!G13/'Market Projection'!H5</f>
        <v>5.5944081959642729</v>
      </c>
      <c r="F25" s="430">
        <f>+'Expense Projection'!H13/'Market Projection'!I5</f>
        <v>5.6503522779239157</v>
      </c>
      <c r="G25" s="430">
        <f>+'Expense Projection'!I13/'Market Projection'!J5</f>
        <v>5.7068558007031553</v>
      </c>
      <c r="H25" s="430">
        <f>+'Expense Projection'!J13/'Market Projection'!K5</f>
        <v>5.7639243587101872</v>
      </c>
      <c r="I25" s="430">
        <f>+'Expense Projection'!K13/'Market Projection'!L5</f>
        <v>5.8215636022972879</v>
      </c>
      <c r="J25" s="430">
        <f>+'Expense Projection'!L13/'Market Projection'!M5</f>
        <v>5.8797792383202614</v>
      </c>
      <c r="K25" s="430">
        <f>+'Expense Projection'!M13/'Market Projection'!N5</f>
        <v>5.9385770307034642</v>
      </c>
    </row>
    <row r="26" spans="1:11" x14ac:dyDescent="0.25">
      <c r="A26" t="s">
        <v>267</v>
      </c>
      <c r="B26" s="336">
        <f>+'Expense Projection'!D19/'Market Projection'!E5</f>
        <v>4.9568602693602699</v>
      </c>
      <c r="C26" s="336">
        <f>+'Expense Projection'!E19/'Market Projection'!F5</f>
        <v>5.0064288720538723</v>
      </c>
      <c r="D26" s="336">
        <f>+'Expense Projection'!F19/'Market Projection'!G5</f>
        <v>5.0564931607744121</v>
      </c>
      <c r="E26" s="336">
        <f>+'Expense Projection'!G19/'Market Projection'!H5</f>
        <v>5.1070580923821556</v>
      </c>
      <c r="F26" s="336">
        <f>+'Expense Projection'!H19/'Market Projection'!I5</f>
        <v>5.1581286733059777</v>
      </c>
      <c r="G26" s="336">
        <f>+'Expense Projection'!I19/'Market Projection'!J5</f>
        <v>5.2097099600390377</v>
      </c>
      <c r="H26" s="336">
        <f>+'Expense Projection'!J19/'Market Projection'!K5</f>
        <v>5.2618070596394277</v>
      </c>
      <c r="I26" s="336">
        <f>+'Expense Projection'!K19/'Market Projection'!L5</f>
        <v>5.3144251302358221</v>
      </c>
      <c r="J26" s="336">
        <f>+'Expense Projection'!L19/'Market Projection'!M5</f>
        <v>5.3675693815381811</v>
      </c>
      <c r="K26" s="336">
        <f>+'Expense Projection'!M19/'Market Projection'!N5</f>
        <v>5.4212450753535633</v>
      </c>
    </row>
    <row r="27" spans="1:11" x14ac:dyDescent="0.25">
      <c r="A27" t="s">
        <v>393</v>
      </c>
      <c r="B27" s="22">
        <f>+'Expense Projection'!D29/'Market Projection'!E5</f>
        <v>2.1654040404040407</v>
      </c>
      <c r="C27" s="22">
        <f>+'Expense Projection'!E29/'Market Projection'!F5</f>
        <v>2.1870580808080811</v>
      </c>
      <c r="D27" s="22">
        <f>+'Expense Projection'!F29/'Market Projection'!G5</f>
        <v>2.2089286616161621</v>
      </c>
      <c r="E27" s="22">
        <f>+'Expense Projection'!G29/'Market Projection'!H5</f>
        <v>2.2310179482323234</v>
      </c>
      <c r="F27" s="22">
        <f>+'Expense Projection'!H29/'Market Projection'!I5</f>
        <v>2.2533281277146466</v>
      </c>
      <c r="G27" s="22">
        <f>+'Expense Projection'!I29/'Market Projection'!J5</f>
        <v>2.2758614089917937</v>
      </c>
      <c r="H27" s="22">
        <f>+'Expense Projection'!J29/'Market Projection'!K5</f>
        <v>2.2986200230817118</v>
      </c>
      <c r="I27" s="22">
        <f>+'Expense Projection'!K29/'Market Projection'!L5</f>
        <v>2.3216062233125285</v>
      </c>
      <c r="J27" s="22">
        <f>+'Expense Projection'!L29/'Market Projection'!M5</f>
        <v>2.3448222855456535</v>
      </c>
      <c r="K27" s="22">
        <f>+'Expense Projection'!M29/'Market Projection'!N5</f>
        <v>2.3682705084011104</v>
      </c>
    </row>
    <row r="28" spans="1:11" x14ac:dyDescent="0.25">
      <c r="A28" t="s">
        <v>391</v>
      </c>
      <c r="B28" s="22">
        <f>+'Expense Projection'!D31/'Market Projection'!E5</f>
        <v>7.1222643097643106</v>
      </c>
      <c r="C28" s="22">
        <f>+'Expense Projection'!E31/'Market Projection'!F5</f>
        <v>7.1934869528619538</v>
      </c>
      <c r="D28" s="22">
        <f>+'Expense Projection'!F31/'Market Projection'!G5</f>
        <v>7.2654218223905742</v>
      </c>
      <c r="E28" s="22">
        <f>+'Expense Projection'!G31/'Market Projection'!H5</f>
        <v>7.3380760406144789</v>
      </c>
      <c r="F28" s="22">
        <f>+'Expense Projection'!H31/'Market Projection'!I5</f>
        <v>7.4114568010206234</v>
      </c>
      <c r="G28" s="22">
        <f>+'Expense Projection'!I31/'Market Projection'!J5</f>
        <v>7.485571369030831</v>
      </c>
      <c r="H28" s="22">
        <f>+'Expense Projection'!J31/'Market Projection'!K5</f>
        <v>7.5604270827211399</v>
      </c>
      <c r="I28" s="22">
        <f>+'Expense Projection'!K31/'Market Projection'!L5</f>
        <v>7.6360313535483506</v>
      </c>
      <c r="J28" s="22">
        <f>+'Expense Projection'!L31/'Market Projection'!M5</f>
        <v>7.7123916670838346</v>
      </c>
      <c r="K28" s="22">
        <f>+'Expense Projection'!M31/'Market Projection'!N5</f>
        <v>7.7895155837546737</v>
      </c>
    </row>
    <row r="29" spans="1:11" x14ac:dyDescent="0.25">
      <c r="A29" s="1" t="s">
        <v>35</v>
      </c>
      <c r="B29" s="22">
        <f>+'Expense Projection'!D33/'Market Projection'!E5</f>
        <v>12.5521417882529</v>
      </c>
      <c r="C29" s="22">
        <f>+'Expense Projection'!E33/'Market Projection'!F5</f>
        <v>12.677663206135428</v>
      </c>
      <c r="D29" s="22">
        <f>+'Expense Projection'!F33/'Market Projection'!G5</f>
        <v>12.804439838196785</v>
      </c>
      <c r="E29" s="22">
        <f>+'Expense Projection'!G33/'Market Projection'!H5</f>
        <v>12.932484236578754</v>
      </c>
      <c r="F29" s="22">
        <f>+'Expense Projection'!H33/'Market Projection'!I5</f>
        <v>13.061809078944538</v>
      </c>
      <c r="G29" s="22">
        <f>+'Expense Projection'!I33/'Market Projection'!J5</f>
        <v>13.192427169733984</v>
      </c>
      <c r="H29" s="22">
        <f>+'Expense Projection'!J33/'Market Projection'!K5</f>
        <v>13.324351441431327</v>
      </c>
      <c r="I29" s="22">
        <f>+'Expense Projection'!K33/'Market Projection'!L5</f>
        <v>13.457594955845639</v>
      </c>
      <c r="J29" s="22">
        <f>+'Expense Projection'!L33/'Market Projection'!M5</f>
        <v>13.592170905404096</v>
      </c>
      <c r="K29" s="22">
        <f>+'Expense Projection'!M33/'Market Projection'!N5</f>
        <v>13.728092614458136</v>
      </c>
    </row>
    <row r="30" spans="1:11" x14ac:dyDescent="0.25">
      <c r="A30" s="1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1" t="s">
        <v>361</v>
      </c>
      <c r="B31" s="22">
        <f>+B22+B29</f>
        <v>20.33403189814301</v>
      </c>
      <c r="C31" s="22">
        <f t="shared" ref="C31:K31" si="2">+C22+C29</f>
        <v>20.459553316025538</v>
      </c>
      <c r="D31" s="22">
        <f t="shared" si="2"/>
        <v>20.586329948086895</v>
      </c>
      <c r="E31" s="22">
        <f t="shared" si="2"/>
        <v>20.714374346468865</v>
      </c>
      <c r="F31" s="22">
        <f t="shared" si="2"/>
        <v>20.843699188834648</v>
      </c>
      <c r="G31" s="22">
        <f t="shared" si="2"/>
        <v>20.974317279624096</v>
      </c>
      <c r="H31" s="22">
        <f t="shared" si="2"/>
        <v>21.106241551321439</v>
      </c>
      <c r="I31" s="22">
        <f t="shared" si="2"/>
        <v>21.239485065735749</v>
      </c>
      <c r="J31" s="22">
        <f t="shared" si="2"/>
        <v>21.374061015294206</v>
      </c>
      <c r="K31" s="22">
        <f t="shared" si="2"/>
        <v>21.509982724348248</v>
      </c>
    </row>
    <row r="32" spans="1:11" x14ac:dyDescent="0.25">
      <c r="A32" s="1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1" t="s">
        <v>398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278" t="s">
        <v>138</v>
      </c>
      <c r="B34" s="22">
        <f>+'Expense Projection'!E46/'Market Projection'!E$5</f>
        <v>4.6007519640852976</v>
      </c>
      <c r="C34" s="22">
        <f>+'Expense Projection'!F46/'Market Projection'!F$5</f>
        <v>4.6467594837261501</v>
      </c>
      <c r="D34" s="22">
        <f>+'Expense Projection'!G46/'Market Projection'!G$5</f>
        <v>4.693227078563412</v>
      </c>
      <c r="E34" s="22">
        <f>+'Expense Projection'!H46/'Market Projection'!H$5</f>
        <v>4.7401593493490459</v>
      </c>
      <c r="F34" s="22">
        <f>+'Expense Projection'!I46/'Market Projection'!I$5</f>
        <v>4.7875609428425365</v>
      </c>
      <c r="G34" s="22">
        <f>+'Expense Projection'!J46/'Market Projection'!J$5</f>
        <v>4.8354365522709619</v>
      </c>
      <c r="H34" s="22">
        <f>+'Expense Projection'!K46/'Market Projection'!K$5</f>
        <v>4.8837909177936716</v>
      </c>
      <c r="I34" s="22">
        <f>+'Expense Projection'!L46/'Market Projection'!L$5</f>
        <v>4.9326288269716079</v>
      </c>
      <c r="J34" s="22">
        <f>+'Expense Projection'!M46/'Market Projection'!M$5</f>
        <v>4.9819551152413242</v>
      </c>
      <c r="K34" s="22">
        <f>+'Expense Projection'!N46/'Market Projection'!N$5</f>
        <v>5.0317746663937379</v>
      </c>
    </row>
    <row r="35" spans="1:11" x14ac:dyDescent="0.25">
      <c r="A35" s="278" t="s">
        <v>139</v>
      </c>
      <c r="B35" s="22">
        <f>+'Expense Projection'!E47/'Market Projection'!E$5</f>
        <v>0.16982142857142865</v>
      </c>
      <c r="C35" s="22">
        <f>+'Expense Projection'!F47/'Market Projection'!F$5</f>
        <v>0.17151964285714294</v>
      </c>
      <c r="D35" s="22">
        <f>+'Expense Projection'!G47/'Market Projection'!G$5</f>
        <v>0.17323483928571437</v>
      </c>
      <c r="E35" s="22">
        <f>+'Expense Projection'!H47/'Market Projection'!H$5</f>
        <v>0.17496718767857153</v>
      </c>
      <c r="F35" s="22">
        <f>+'Expense Projection'!I47/'Market Projection'!I$5</f>
        <v>0.17671685955535724</v>
      </c>
      <c r="G35" s="22">
        <f>+'Expense Projection'!J47/'Market Projection'!J$5</f>
        <v>0.1784840281509108</v>
      </c>
      <c r="H35" s="22">
        <f>+'Expense Projection'!K47/'Market Projection'!K$5</f>
        <v>0.1802688684324199</v>
      </c>
      <c r="I35" s="22">
        <f>+'Expense Projection'!L47/'Market Projection'!L$5</f>
        <v>0.18207155711674411</v>
      </c>
      <c r="J35" s="22">
        <f>+'Expense Projection'!M47/'Market Projection'!M$5</f>
        <v>0.18389227268791156</v>
      </c>
      <c r="K35" s="22">
        <f>+'Expense Projection'!N47/'Market Projection'!N$5</f>
        <v>0.18573119541479069</v>
      </c>
    </row>
    <row r="36" spans="1:11" x14ac:dyDescent="0.25">
      <c r="A36" s="278" t="s">
        <v>407</v>
      </c>
      <c r="B36" s="22">
        <f>+'Expense Projection'!E48/'Market Projection'!E$5</f>
        <v>6.1377665544332216E-2</v>
      </c>
      <c r="C36" s="22">
        <f>+'Expense Projection'!F48/'Market Projection'!F$5</f>
        <v>6.1991442199775537E-2</v>
      </c>
      <c r="D36" s="22">
        <f>+'Expense Projection'!G48/'Market Projection'!G$5</f>
        <v>6.2611356621773293E-2</v>
      </c>
      <c r="E36" s="22">
        <f>+'Expense Projection'!H48/'Market Projection'!H$5</f>
        <v>6.3237470187991029E-2</v>
      </c>
      <c r="F36" s="22">
        <f>+'Expense Projection'!I48/'Market Projection'!I$5</f>
        <v>6.386984488987095E-2</v>
      </c>
      <c r="G36" s="22">
        <f>+'Expense Projection'!J48/'Market Projection'!J$5</f>
        <v>6.4508543338769653E-2</v>
      </c>
      <c r="H36" s="22">
        <f>+'Expense Projection'!K48/'Market Projection'!K$5</f>
        <v>6.5153628772157357E-2</v>
      </c>
      <c r="I36" s="22">
        <f>+'Expense Projection'!L48/'Market Projection'!L$5</f>
        <v>6.580516505987892E-2</v>
      </c>
      <c r="J36" s="22">
        <f>+'Expense Projection'!M48/'Market Projection'!M$5</f>
        <v>6.646321671047771E-2</v>
      </c>
      <c r="K36" s="22">
        <f>+'Expense Projection'!N48/'Market Projection'!N$5</f>
        <v>6.7127848877582483E-2</v>
      </c>
    </row>
    <row r="37" spans="1:11" x14ac:dyDescent="0.25">
      <c r="A37" s="278" t="s">
        <v>408</v>
      </c>
      <c r="B37" s="22">
        <f>+'Expense Projection'!E49/'Market Projection'!E$5</f>
        <v>4.9102132435465774E-2</v>
      </c>
      <c r="C37" s="22">
        <f>+'Expense Projection'!F49/'Market Projection'!F$5</f>
        <v>4.959315375982043E-2</v>
      </c>
      <c r="D37" s="22">
        <f>+'Expense Projection'!G49/'Market Projection'!G$5</f>
        <v>5.0089085297418637E-2</v>
      </c>
      <c r="E37" s="22">
        <f>+'Expense Projection'!H49/'Market Projection'!H$5</f>
        <v>5.0589976150392825E-2</v>
      </c>
      <c r="F37" s="22">
        <f>+'Expense Projection'!I49/'Market Projection'!I$5</f>
        <v>5.1095875911896751E-2</v>
      </c>
      <c r="G37" s="22">
        <f>+'Expense Projection'!J49/'Market Projection'!J$5</f>
        <v>5.1606834671015719E-2</v>
      </c>
      <c r="H37" s="22">
        <f>+'Expense Projection'!K49/'Market Projection'!K$5</f>
        <v>5.2122903017725881E-2</v>
      </c>
      <c r="I37" s="22">
        <f>+'Expense Projection'!L49/'Market Projection'!L$5</f>
        <v>5.2644132047903143E-2</v>
      </c>
      <c r="J37" s="22">
        <f>+'Expense Projection'!M49/'Market Projection'!M$5</f>
        <v>5.3170573368382178E-2</v>
      </c>
      <c r="K37" s="22">
        <f>+'Expense Projection'!N49/'Market Projection'!N$5</f>
        <v>5.3702279102066E-2</v>
      </c>
    </row>
    <row r="38" spans="1:11" x14ac:dyDescent="0.25">
      <c r="A38" t="s">
        <v>362</v>
      </c>
      <c r="B38" s="7">
        <f>+'Expense Projection'!E50/'Market Projection'!E5</f>
        <v>4.881053190636524</v>
      </c>
      <c r="C38" s="7">
        <f>+'Expense Projection'!F50/'Market Projection'!F5</f>
        <v>4.9298637225428896</v>
      </c>
      <c r="D38" s="7">
        <f>+'Expense Projection'!G50/'Market Projection'!G5</f>
        <v>4.9791623597683179</v>
      </c>
      <c r="E38" s="7">
        <f>+'Expense Projection'!H50/'Market Projection'!H5</f>
        <v>5.0289539833660015</v>
      </c>
      <c r="F38" s="7">
        <f>+'Expense Projection'!I50/'Market Projection'!I5</f>
        <v>5.0792435231996613</v>
      </c>
      <c r="G38" s="7">
        <f>+'Expense Projection'!J50/'Market Projection'!J5</f>
        <v>5.1300359584316579</v>
      </c>
      <c r="H38" s="7">
        <f>+'Expense Projection'!K50/'Market Projection'!K5</f>
        <v>5.1813363180159753</v>
      </c>
      <c r="I38" s="7">
        <f>+'Expense Projection'!L50/'Market Projection'!L5</f>
        <v>5.2331496811961342</v>
      </c>
      <c r="J38" s="7">
        <f>+'Expense Projection'!M50/'Market Projection'!M5</f>
        <v>5.2854811780080961</v>
      </c>
      <c r="K38" s="7">
        <f>+'Expense Projection'!N50/'Market Projection'!N5</f>
        <v>5.3383359897881775</v>
      </c>
    </row>
    <row r="39" spans="1:11" x14ac:dyDescent="0.25">
      <c r="A39" t="s">
        <v>394</v>
      </c>
      <c r="B39" s="22">
        <f>'Expense Projection'!E55/'Market Projection'!E$5</f>
        <v>1.1313194736719043</v>
      </c>
      <c r="C39" s="22">
        <f>'Expense Projection'!F55/'Market Projection'!F$5</f>
        <v>1.1426326684086232</v>
      </c>
      <c r="D39" s="22">
        <f>'Expense Projection'!G55/'Market Projection'!G$5</f>
        <v>1.1540589950927096</v>
      </c>
      <c r="E39" s="22">
        <f>'Expense Projection'!H55/'Market Projection'!H$5</f>
        <v>1.1655995850436367</v>
      </c>
      <c r="F39" s="22">
        <f>'Expense Projection'!I55/'Market Projection'!I$5</f>
        <v>1.177255580894073</v>
      </c>
      <c r="G39" s="22">
        <f>'Expense Projection'!J55/'Market Projection'!J$5</f>
        <v>1.1890281367030138</v>
      </c>
      <c r="H39" s="22">
        <f>'Expense Projection'!K55/'Market Projection'!K$5</f>
        <v>1.2009184180700438</v>
      </c>
      <c r="I39" s="22">
        <f>'Expense Projection'!L55/'Market Projection'!L$5</f>
        <v>1.2129276022507443</v>
      </c>
      <c r="J39" s="22">
        <f>'Expense Projection'!M55/'Market Projection'!M$5</f>
        <v>1.2250568782732516</v>
      </c>
      <c r="K39" s="22">
        <f>'Expense Projection'!N55/'Market Projection'!N$5</f>
        <v>1.2373074470559844</v>
      </c>
    </row>
    <row r="40" spans="1:11" x14ac:dyDescent="0.25">
      <c r="A40" t="s">
        <v>41</v>
      </c>
      <c r="B40" s="22">
        <f>'Expense Projection'!E57/'Market Projection'!E$5</f>
        <v>1.1313194736719043</v>
      </c>
      <c r="C40" s="22">
        <f>'Expense Projection'!F57/'Market Projection'!F$5</f>
        <v>1.1426326684086232</v>
      </c>
      <c r="D40" s="22">
        <f>'Expense Projection'!G57/'Market Projection'!G$5</f>
        <v>1.1540589950927096</v>
      </c>
      <c r="E40" s="22">
        <f>'Expense Projection'!H57/'Market Projection'!H$5</f>
        <v>1.1655995850436367</v>
      </c>
      <c r="F40" s="22">
        <f>'Expense Projection'!I57/'Market Projection'!I$5</f>
        <v>1.177255580894073</v>
      </c>
      <c r="G40" s="22">
        <f>'Expense Projection'!J57/'Market Projection'!J$5</f>
        <v>1.1890281367030138</v>
      </c>
      <c r="H40" s="22">
        <f>'Expense Projection'!K57/'Market Projection'!K$5</f>
        <v>1.2009184180700438</v>
      </c>
      <c r="I40" s="22">
        <f>'Expense Projection'!L57/'Market Projection'!L$5</f>
        <v>1.2129276022507443</v>
      </c>
      <c r="J40" s="22">
        <f>'Expense Projection'!M57/'Market Projection'!M$5</f>
        <v>1.2250568782732516</v>
      </c>
      <c r="K40" s="22">
        <f>'Expense Projection'!N57/'Market Projection'!N$5</f>
        <v>1.2373074470559844</v>
      </c>
    </row>
    <row r="41" spans="1:11" x14ac:dyDescent="0.25">
      <c r="A41" t="s">
        <v>40</v>
      </c>
      <c r="B41" s="22">
        <f>'Expense Projection'!E59/'Market Projection'!E$5</f>
        <v>1.1517786955200149</v>
      </c>
      <c r="C41" s="22">
        <f>'Expense Projection'!F59/'Market Projection'!F$5</f>
        <v>1.1632964824752152</v>
      </c>
      <c r="D41" s="22">
        <f>'Expense Projection'!G59/'Market Projection'!G$5</f>
        <v>1.1749294472999672</v>
      </c>
      <c r="E41" s="22">
        <f>'Expense Projection'!H59/'Market Projection'!H$5</f>
        <v>1.1866787417729669</v>
      </c>
      <c r="F41" s="22">
        <f>'Expense Projection'!I59/'Market Projection'!I$5</f>
        <v>1.1985455291906966</v>
      </c>
      <c r="G41" s="22">
        <f>'Expense Projection'!J59/'Market Projection'!J$5</f>
        <v>1.2105309844826035</v>
      </c>
      <c r="H41" s="22">
        <f>'Expense Projection'!K59/'Market Projection'!K$5</f>
        <v>1.2226362943274296</v>
      </c>
      <c r="I41" s="22">
        <f>'Expense Projection'!L59/'Market Projection'!L$5</f>
        <v>1.2348626572707038</v>
      </c>
      <c r="J41" s="22">
        <f>'Expense Projection'!M59/'Market Projection'!M$5</f>
        <v>1.2472112838434108</v>
      </c>
      <c r="K41" s="22">
        <f>'Expense Projection'!N59/'Market Projection'!N$5</f>
        <v>1.2596833966818448</v>
      </c>
    </row>
    <row r="42" spans="1:11" x14ac:dyDescent="0.25">
      <c r="A42" t="s">
        <v>47</v>
      </c>
      <c r="B42" s="22">
        <f>'Expense Projection'!E61/'Market Projection'!E$5</f>
        <v>12.275172813261415</v>
      </c>
      <c r="C42" s="22">
        <f>'Expense Projection'!F61/'Market Projection'!F$5</f>
        <v>20.173670393227745</v>
      </c>
      <c r="D42" s="22">
        <f>'Expense Projection'!G61/'Market Projection'!G$5</f>
        <v>14.351307867507579</v>
      </c>
      <c r="E42" s="22">
        <f>'Expense Projection'!H61/'Market Projection'!H$5</f>
        <v>7.9332050944061958</v>
      </c>
      <c r="F42" s="22">
        <f>'Expense Projection'!I61/'Market Projection'!I$5</f>
        <v>7.9264971006959435</v>
      </c>
      <c r="G42" s="22">
        <f>'Expense Projection'!J61/'Market Projection'!J$5</f>
        <v>7.4261599765610784</v>
      </c>
      <c r="H42" s="22">
        <f>'Expense Projection'!K61/'Market Projection'!K$5</f>
        <v>3.9206416702339157</v>
      </c>
      <c r="I42" s="22">
        <f>'Expense Projection'!L61/'Market Projection'!L$5</f>
        <v>0.92887647546212371</v>
      </c>
      <c r="J42" s="22">
        <f>'Expense Projection'!M61/'Market Projection'!M$5</f>
        <v>0.92887647546212371</v>
      </c>
      <c r="K42" s="22">
        <f>'Expense Projection'!N61/'Market Projection'!N$5</f>
        <v>0.92887647546212371</v>
      </c>
    </row>
    <row r="43" spans="1:11" x14ac:dyDescent="0.25">
      <c r="A43" t="s">
        <v>19</v>
      </c>
      <c r="B43" s="22">
        <f>'Expense Projection'!E63/'Market Projection'!E$5</f>
        <v>6.3758376789317932</v>
      </c>
      <c r="C43" s="22">
        <f>'Expense Projection'!F63/'Market Projection'!F$5</f>
        <v>6.0705331341224875</v>
      </c>
      <c r="D43" s="22">
        <f>'Expense Projection'!G63/'Market Projection'!G$5</f>
        <v>5.7423307484524848</v>
      </c>
      <c r="E43" s="22">
        <f>'Expense Projection'!H63/'Market Projection'!H$5</f>
        <v>5.3895131838572308</v>
      </c>
      <c r="F43" s="22">
        <f>'Expense Projection'!I63/'Market Projection'!I$5</f>
        <v>5.0102343019173317</v>
      </c>
      <c r="G43" s="22">
        <f>'Expense Projection'!J63/'Market Projection'!J$5</f>
        <v>4.602509503831941</v>
      </c>
      <c r="H43" s="22">
        <f>'Expense Projection'!K63/'Market Projection'!K$5</f>
        <v>4.1642053458901458</v>
      </c>
      <c r="I43" s="22">
        <f>'Expense Projection'!L63/'Market Projection'!L$5</f>
        <v>3.6930283761027156</v>
      </c>
      <c r="J43" s="22">
        <f>'Expense Projection'!M63/'Market Projection'!M$5</f>
        <v>3.1865131335812289</v>
      </c>
      <c r="K43" s="22">
        <f>'Expense Projection'!N63/'Market Projection'!N$5</f>
        <v>2.6420092478706301</v>
      </c>
    </row>
    <row r="44" spans="1:11" x14ac:dyDescent="0.25">
      <c r="A44" s="429" t="s">
        <v>399</v>
      </c>
      <c r="B44" s="31">
        <f>SUM(B34:B43)</f>
        <v>31.827534516330083</v>
      </c>
      <c r="C44" s="31">
        <f t="shared" ref="C44:K44" si="3">SUM(C34:C43)</f>
        <v>39.552492791728469</v>
      </c>
      <c r="D44" s="31">
        <f t="shared" si="3"/>
        <v>33.535010772982091</v>
      </c>
      <c r="E44" s="31">
        <f t="shared" si="3"/>
        <v>26.898504156855672</v>
      </c>
      <c r="F44" s="31">
        <f t="shared" si="3"/>
        <v>26.648275139991441</v>
      </c>
      <c r="G44" s="31">
        <f t="shared" si="3"/>
        <v>25.877328655144964</v>
      </c>
      <c r="H44" s="31">
        <f t="shared" si="3"/>
        <v>22.071992782623528</v>
      </c>
      <c r="I44" s="31">
        <f t="shared" si="3"/>
        <v>18.7489220757293</v>
      </c>
      <c r="J44" s="31">
        <f t="shared" si="3"/>
        <v>18.38367700544946</v>
      </c>
      <c r="K44" s="31">
        <f t="shared" si="3"/>
        <v>17.981855993702922</v>
      </c>
    </row>
    <row r="46" spans="1:11" x14ac:dyDescent="0.25">
      <c r="A46" s="1" t="s">
        <v>400</v>
      </c>
      <c r="B46" s="31">
        <f>+B31+B44</f>
        <v>52.161566414473093</v>
      </c>
      <c r="C46" s="31">
        <f t="shared" ref="C46:K46" si="4">+C31+C44</f>
        <v>60.012046107754003</v>
      </c>
      <c r="D46" s="31">
        <f t="shared" si="4"/>
        <v>54.121340721068989</v>
      </c>
      <c r="E46" s="31">
        <f t="shared" si="4"/>
        <v>47.612878503324538</v>
      </c>
      <c r="F46" s="31">
        <f t="shared" si="4"/>
        <v>47.491974328826089</v>
      </c>
      <c r="G46" s="31">
        <f t="shared" si="4"/>
        <v>46.85164593476906</v>
      </c>
      <c r="H46" s="31">
        <f t="shared" si="4"/>
        <v>43.178234333944971</v>
      </c>
      <c r="I46" s="31">
        <f t="shared" si="4"/>
        <v>39.988407141465046</v>
      </c>
      <c r="J46" s="31">
        <f t="shared" si="4"/>
        <v>39.757738020743666</v>
      </c>
      <c r="K46" s="31">
        <f t="shared" si="4"/>
        <v>39.49183871805117</v>
      </c>
    </row>
    <row r="47" spans="1:11" x14ac:dyDescent="0.25">
      <c r="A47" s="322"/>
      <c r="B47" s="7"/>
    </row>
    <row r="49" spans="2:2" x14ac:dyDescent="0.25">
      <c r="B49" s="22"/>
    </row>
  </sheetData>
  <sheetProtection sheet="1"/>
  <phoneticPr fontId="0" type="noConversion"/>
  <hyperlinks>
    <hyperlink ref="A2" location="'Input Value'!A1" display="BACK TO INPUT"/>
    <hyperlink ref="A3" location="'Return On Investment'!A1" display="FORWARD TO RESULTS"/>
  </hyperlink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15" workbookViewId="0">
      <pane xSplit="2" topLeftCell="K1" activePane="topRight" state="frozen"/>
      <selection pane="topRight" activeCell="M37" sqref="M37"/>
    </sheetView>
  </sheetViews>
  <sheetFormatPr defaultRowHeight="13.2" x14ac:dyDescent="0.25"/>
  <cols>
    <col min="1" max="1" width="38.88671875" customWidth="1"/>
    <col min="2" max="2" width="14.44140625" bestFit="1" customWidth="1"/>
    <col min="3" max="6" width="11.5546875" bestFit="1" customWidth="1"/>
    <col min="8" max="8" width="12.44140625" customWidth="1"/>
    <col min="9" max="12" width="9.33203125" bestFit="1" customWidth="1"/>
  </cols>
  <sheetData>
    <row r="1" spans="1:20" x14ac:dyDescent="0.25">
      <c r="A1" s="1" t="s">
        <v>445</v>
      </c>
    </row>
    <row r="2" spans="1:20" x14ac:dyDescent="0.25">
      <c r="G2" t="s">
        <v>446</v>
      </c>
    </row>
    <row r="3" spans="1:20" x14ac:dyDescent="0.25">
      <c r="A3" s="515" t="s">
        <v>416</v>
      </c>
      <c r="B3" s="515"/>
      <c r="C3" s="515"/>
      <c r="D3" s="515"/>
      <c r="E3" s="515"/>
      <c r="F3" s="515"/>
      <c r="I3">
        <v>1994</v>
      </c>
      <c r="J3">
        <v>1995</v>
      </c>
      <c r="K3">
        <v>1996</v>
      </c>
      <c r="L3">
        <v>1997</v>
      </c>
      <c r="M3">
        <v>1998</v>
      </c>
      <c r="N3">
        <v>1999</v>
      </c>
      <c r="O3">
        <v>2000</v>
      </c>
      <c r="P3">
        <v>2001</v>
      </c>
      <c r="Q3">
        <v>2002</v>
      </c>
      <c r="R3">
        <v>2003</v>
      </c>
      <c r="S3" t="s">
        <v>352</v>
      </c>
    </row>
    <row r="4" spans="1:20" x14ac:dyDescent="0.25">
      <c r="A4" t="s">
        <v>417</v>
      </c>
      <c r="B4" s="22">
        <f>'Input Value'!C7</f>
        <v>5629631</v>
      </c>
      <c r="E4" t="s">
        <v>454</v>
      </c>
      <c r="I4">
        <v>349</v>
      </c>
      <c r="J4">
        <v>187</v>
      </c>
      <c r="K4">
        <v>306</v>
      </c>
      <c r="L4">
        <v>462</v>
      </c>
      <c r="M4">
        <v>560</v>
      </c>
      <c r="N4">
        <v>461</v>
      </c>
      <c r="O4">
        <v>501</v>
      </c>
      <c r="P4">
        <v>531</v>
      </c>
      <c r="Q4">
        <v>557</v>
      </c>
      <c r="R4">
        <v>616</v>
      </c>
      <c r="S4">
        <f>AVERAGE(I4:R4)</f>
        <v>453</v>
      </c>
    </row>
    <row r="5" spans="1:20" ht="13.8" thickBot="1" x14ac:dyDescent="0.3">
      <c r="A5" s="260" t="s">
        <v>12</v>
      </c>
      <c r="B5" s="474">
        <f>'Input Value'!C8</f>
        <v>2814815.5</v>
      </c>
      <c r="E5" t="s">
        <v>422</v>
      </c>
      <c r="I5">
        <v>295</v>
      </c>
      <c r="J5">
        <v>565</v>
      </c>
      <c r="K5">
        <v>360</v>
      </c>
      <c r="L5">
        <v>370</v>
      </c>
      <c r="M5">
        <v>315</v>
      </c>
      <c r="N5">
        <v>150</v>
      </c>
      <c r="O5">
        <v>145</v>
      </c>
      <c r="P5">
        <v>185</v>
      </c>
      <c r="Q5">
        <v>180</v>
      </c>
      <c r="R5">
        <v>170</v>
      </c>
      <c r="S5">
        <f>AVERAGE(I5:R5)</f>
        <v>273.5</v>
      </c>
    </row>
    <row r="6" spans="1:20" x14ac:dyDescent="0.25">
      <c r="A6" s="473" t="s">
        <v>418</v>
      </c>
      <c r="B6" s="475">
        <f>B4-B5</f>
        <v>2814815.5</v>
      </c>
      <c r="E6" t="s">
        <v>455</v>
      </c>
      <c r="I6">
        <f>+I4/Efficiency!$B$7</f>
        <v>0.7270833333333333</v>
      </c>
      <c r="J6">
        <f>+J4/Efficiency!$B$7</f>
        <v>0.38958333333333334</v>
      </c>
      <c r="K6">
        <f>+K4/Efficiency!$B$7</f>
        <v>0.63749999999999996</v>
      </c>
      <c r="L6">
        <f>+L4/Efficiency!$B$7</f>
        <v>0.96250000000000002</v>
      </c>
      <c r="M6">
        <f>+M4/Efficiency!$B$7</f>
        <v>1.1666666666666667</v>
      </c>
      <c r="N6">
        <f>+N4/Efficiency!$B$7</f>
        <v>0.9604166666666667</v>
      </c>
      <c r="O6">
        <f>+O4/Efficiency!$B$7</f>
        <v>1.04375</v>
      </c>
      <c r="P6">
        <f>+P4/Efficiency!$B$7</f>
        <v>1.10625</v>
      </c>
      <c r="Q6">
        <f>+Q4/Efficiency!$B$7</f>
        <v>1.1604166666666667</v>
      </c>
      <c r="R6">
        <f>+R4/Efficiency!$B$7</f>
        <v>1.2833333333333334</v>
      </c>
      <c r="S6">
        <f>AVERAGE(I6:R6)</f>
        <v>0.94374999999999998</v>
      </c>
      <c r="T6">
        <f>STDEV(I6:R6)</f>
        <v>0.27825306560488883</v>
      </c>
    </row>
    <row r="7" spans="1:20" x14ac:dyDescent="0.25">
      <c r="E7" t="s">
        <v>433</v>
      </c>
      <c r="I7">
        <v>0.68</v>
      </c>
      <c r="J7">
        <v>0.73499999999999999</v>
      </c>
      <c r="K7">
        <v>0.61699999999999999</v>
      </c>
      <c r="L7">
        <v>0.57899999999999996</v>
      </c>
      <c r="M7">
        <v>0.61499999999999999</v>
      </c>
      <c r="N7">
        <v>0.38200000000000001</v>
      </c>
      <c r="O7">
        <v>0.45100000000000001</v>
      </c>
      <c r="P7">
        <v>0.29499999999999998</v>
      </c>
      <c r="Q7">
        <v>0.42</v>
      </c>
      <c r="R7">
        <v>0.61</v>
      </c>
      <c r="S7">
        <f>AVERAGE(I7:R7)</f>
        <v>0.53839999999999999</v>
      </c>
      <c r="T7">
        <f>STDEV(I7:R7)</f>
        <v>0.1425499522584586</v>
      </c>
    </row>
    <row r="8" spans="1:20" x14ac:dyDescent="0.25">
      <c r="A8" s="516" t="s">
        <v>419</v>
      </c>
      <c r="B8" s="516"/>
      <c r="C8" s="516"/>
      <c r="D8" s="516"/>
      <c r="E8" s="516"/>
      <c r="F8" s="516"/>
      <c r="G8" s="516"/>
      <c r="H8" s="516"/>
      <c r="I8" s="516"/>
      <c r="J8" s="516"/>
    </row>
    <row r="9" spans="1:20" x14ac:dyDescent="0.25">
      <c r="A9" t="s">
        <v>354</v>
      </c>
      <c r="B9" s="476">
        <f>Efficiency!H10</f>
        <v>48877.714285714283</v>
      </c>
      <c r="E9" t="s">
        <v>451</v>
      </c>
      <c r="N9">
        <v>52</v>
      </c>
      <c r="O9">
        <v>58</v>
      </c>
      <c r="P9">
        <v>80</v>
      </c>
      <c r="Q9">
        <v>81</v>
      </c>
      <c r="R9">
        <v>79</v>
      </c>
    </row>
    <row r="10" spans="1:20" x14ac:dyDescent="0.25">
      <c r="A10" t="s">
        <v>420</v>
      </c>
      <c r="B10" s="476">
        <f>+S6</f>
        <v>0.94374999999999998</v>
      </c>
      <c r="E10" t="s">
        <v>452</v>
      </c>
      <c r="N10">
        <f>+N9*2000</f>
        <v>104000</v>
      </c>
      <c r="O10">
        <f>+O9*2000</f>
        <v>116000</v>
      </c>
      <c r="P10">
        <f>+P9*2000</f>
        <v>160000</v>
      </c>
      <c r="Q10">
        <f>+Q9*2000</f>
        <v>162000</v>
      </c>
      <c r="R10">
        <f>+R9*2000</f>
        <v>158000</v>
      </c>
    </row>
    <row r="11" spans="1:20" ht="13.8" thickBot="1" x14ac:dyDescent="0.3">
      <c r="A11" s="260" t="s">
        <v>421</v>
      </c>
      <c r="B11" s="477">
        <v>231300</v>
      </c>
      <c r="N11">
        <v>144</v>
      </c>
      <c r="O11">
        <v>152</v>
      </c>
      <c r="P11">
        <v>197</v>
      </c>
      <c r="Q11">
        <v>209</v>
      </c>
      <c r="R11">
        <v>218</v>
      </c>
    </row>
    <row r="12" spans="1:20" x14ac:dyDescent="0.25">
      <c r="A12" s="478" t="s">
        <v>422</v>
      </c>
      <c r="B12" s="480">
        <v>50000</v>
      </c>
      <c r="E12" t="s">
        <v>453</v>
      </c>
      <c r="N12">
        <f>+(N11*480)/2000</f>
        <v>34.56</v>
      </c>
      <c r="O12">
        <f>+(O11*480)/2000</f>
        <v>36.479999999999997</v>
      </c>
      <c r="P12">
        <f>+(P11*480)/2000</f>
        <v>47.28</v>
      </c>
      <c r="Q12">
        <f>+(Q11*480)/2000</f>
        <v>50.16</v>
      </c>
      <c r="R12">
        <f>+(R11*480)/2000</f>
        <v>52.32</v>
      </c>
    </row>
    <row r="13" spans="1:20" x14ac:dyDescent="0.25">
      <c r="E13" t="s">
        <v>450</v>
      </c>
      <c r="N13">
        <f>+N9/N12</f>
        <v>1.5046296296296295</v>
      </c>
      <c r="O13">
        <f>+O9/O12</f>
        <v>1.5899122807017545</v>
      </c>
      <c r="P13">
        <f>+P9/P12</f>
        <v>1.6920473773265652</v>
      </c>
      <c r="Q13">
        <f>+Q9/Q12</f>
        <v>1.6148325358851676</v>
      </c>
      <c r="R13">
        <f>+R9/R12</f>
        <v>1.5099388379204892</v>
      </c>
      <c r="S13">
        <f>AVERAGE(N13:R13)</f>
        <v>1.5822721322927213</v>
      </c>
    </row>
    <row r="14" spans="1:20" x14ac:dyDescent="0.25">
      <c r="A14" t="s">
        <v>423</v>
      </c>
    </row>
    <row r="15" spans="1:20" x14ac:dyDescent="0.25">
      <c r="A15" t="s">
        <v>418</v>
      </c>
      <c r="B15" s="31">
        <f>B6</f>
        <v>2814815.5</v>
      </c>
    </row>
    <row r="16" spans="1:20" ht="13.8" thickBot="1" x14ac:dyDescent="0.3">
      <c r="A16" s="260" t="s">
        <v>422</v>
      </c>
      <c r="B16" s="260">
        <f>B12</f>
        <v>50000</v>
      </c>
    </row>
    <row r="17" spans="1:13" x14ac:dyDescent="0.25">
      <c r="A17" s="478" t="s">
        <v>424</v>
      </c>
      <c r="B17" s="479">
        <f>B15/B16</f>
        <v>56.296309999999998</v>
      </c>
    </row>
    <row r="18" spans="1:13" x14ac:dyDescent="0.25">
      <c r="A18" s="17" t="s">
        <v>354</v>
      </c>
      <c r="C18" s="295">
        <f t="shared" ref="C18:L18" si="0">+$B$12*C22</f>
        <v>36354.166666666664</v>
      </c>
      <c r="D18" s="295">
        <f t="shared" si="0"/>
        <v>19479.166666666668</v>
      </c>
      <c r="E18" s="295">
        <f t="shared" si="0"/>
        <v>31874.999999999996</v>
      </c>
      <c r="F18" s="295">
        <f t="shared" si="0"/>
        <v>48125</v>
      </c>
      <c r="G18" s="295">
        <f t="shared" si="0"/>
        <v>58333.333333333336</v>
      </c>
      <c r="H18" s="295">
        <f t="shared" si="0"/>
        <v>48020.833333333336</v>
      </c>
      <c r="I18" s="295">
        <f t="shared" si="0"/>
        <v>52187.5</v>
      </c>
      <c r="J18" s="295">
        <f t="shared" si="0"/>
        <v>55312.5</v>
      </c>
      <c r="K18" s="295">
        <f t="shared" si="0"/>
        <v>58020.833333333336</v>
      </c>
      <c r="L18" s="295">
        <f t="shared" si="0"/>
        <v>64166.666666666672</v>
      </c>
      <c r="M18" s="484">
        <f t="shared" ref="M18:M28" si="1">AVERAGE(C18:L18)</f>
        <v>47187.5</v>
      </c>
    </row>
    <row r="19" spans="1:13" x14ac:dyDescent="0.25">
      <c r="A19" s="17" t="s">
        <v>471</v>
      </c>
      <c r="C19" s="295">
        <f>+C18*(Efficiency!$E$16/2000)</f>
        <v>29516.121031746028</v>
      </c>
      <c r="D19" s="295">
        <f>+D18*(Efficiency!$E$16/2000)</f>
        <v>15815.228174603175</v>
      </c>
      <c r="E19" s="295">
        <f>+E18*(Efficiency!$E$16/2000)</f>
        <v>25879.464285714283</v>
      </c>
      <c r="F19" s="295">
        <f>+F18*(Efficiency!$E$16/2000)</f>
        <v>39072.916666666664</v>
      </c>
      <c r="G19" s="295">
        <f>+G18*(Efficiency!$E$16/2000)</f>
        <v>47361.111111111117</v>
      </c>
      <c r="H19" s="295">
        <f>+H18*(Efficiency!$E$16/2000)</f>
        <v>38988.343253968254</v>
      </c>
      <c r="I19" s="295">
        <f>+I18*(Efficiency!$E$16/2000)</f>
        <v>42371.279761904763</v>
      </c>
      <c r="J19" s="295">
        <f>+J18*(Efficiency!$E$16/2000)</f>
        <v>44908.482142857145</v>
      </c>
      <c r="K19" s="295">
        <f>+K18*(Efficiency!$E$16/2000)</f>
        <v>47107.390873015873</v>
      </c>
      <c r="L19" s="295">
        <f>+L18*(Efficiency!$E$16/2000)</f>
        <v>52097.222222222226</v>
      </c>
      <c r="M19" s="484">
        <f t="shared" si="1"/>
        <v>38311.755952380954</v>
      </c>
    </row>
    <row r="20" spans="1:13" x14ac:dyDescent="0.25">
      <c r="A20" s="1" t="s">
        <v>425</v>
      </c>
      <c r="C20">
        <v>1994</v>
      </c>
      <c r="D20">
        <v>1995</v>
      </c>
      <c r="E20">
        <v>1996</v>
      </c>
      <c r="F20">
        <v>1997</v>
      </c>
      <c r="G20">
        <v>1998</v>
      </c>
      <c r="H20">
        <f>+N3</f>
        <v>1999</v>
      </c>
      <c r="I20">
        <f>+O3</f>
        <v>2000</v>
      </c>
      <c r="J20">
        <f>+P3</f>
        <v>2001</v>
      </c>
      <c r="K20">
        <f>+Q3</f>
        <v>2002</v>
      </c>
      <c r="L20">
        <f>+R3</f>
        <v>2003</v>
      </c>
      <c r="M20" s="484">
        <f t="shared" si="1"/>
        <v>1998.5</v>
      </c>
    </row>
    <row r="21" spans="1:13" x14ac:dyDescent="0.25">
      <c r="A21" s="1" t="s">
        <v>473</v>
      </c>
      <c r="C21" s="294">
        <f>+C22*Efficiency!$E$16</f>
        <v>1180.6448412698412</v>
      </c>
      <c r="D21" s="294">
        <f>+D22*Efficiency!$E$16</f>
        <v>632.60912698412699</v>
      </c>
      <c r="E21" s="294">
        <f>+E22*Efficiency!$E$16</f>
        <v>1035.1785714285713</v>
      </c>
      <c r="F21" s="294">
        <f>+F22*Efficiency!$E$16</f>
        <v>1562.9166666666667</v>
      </c>
      <c r="G21" s="294">
        <f>+G22*Efficiency!$E$16</f>
        <v>1894.4444444444446</v>
      </c>
      <c r="H21" s="294">
        <f>+H22*Efficiency!$E$16</f>
        <v>1559.5337301587304</v>
      </c>
      <c r="I21" s="294">
        <f>+I22*Efficiency!$E$16</f>
        <v>1694.8511904761904</v>
      </c>
      <c r="J21" s="294">
        <f>+J22*Efficiency!$E$16</f>
        <v>1796.3392857142858</v>
      </c>
      <c r="K21" s="294">
        <f>+K22*Efficiency!$E$16</f>
        <v>1884.2956349206349</v>
      </c>
      <c r="L21" s="294">
        <f>+L22*Efficiency!$E$16</f>
        <v>2083.8888888888891</v>
      </c>
      <c r="M21" s="484">
        <f t="shared" si="1"/>
        <v>1532.4702380952381</v>
      </c>
    </row>
    <row r="22" spans="1:13" x14ac:dyDescent="0.25">
      <c r="A22" s="1" t="s">
        <v>434</v>
      </c>
      <c r="C22" s="481">
        <f t="shared" ref="C22:L22" si="2">+I6</f>
        <v>0.7270833333333333</v>
      </c>
      <c r="D22" s="481">
        <f t="shared" si="2"/>
        <v>0.38958333333333334</v>
      </c>
      <c r="E22" s="481">
        <f t="shared" si="2"/>
        <v>0.63749999999999996</v>
      </c>
      <c r="F22" s="481">
        <f t="shared" si="2"/>
        <v>0.96250000000000002</v>
      </c>
      <c r="G22" s="481">
        <f t="shared" si="2"/>
        <v>1.1666666666666667</v>
      </c>
      <c r="H22" s="481">
        <f t="shared" si="2"/>
        <v>0.9604166666666667</v>
      </c>
      <c r="I22" s="481">
        <f t="shared" si="2"/>
        <v>1.04375</v>
      </c>
      <c r="J22" s="481">
        <f t="shared" si="2"/>
        <v>1.10625</v>
      </c>
      <c r="K22" s="481">
        <f t="shared" si="2"/>
        <v>1.1604166666666667</v>
      </c>
      <c r="L22" s="481">
        <f t="shared" si="2"/>
        <v>1.2833333333333334</v>
      </c>
      <c r="M22" s="484">
        <f t="shared" si="1"/>
        <v>0.94374999999999998</v>
      </c>
    </row>
    <row r="23" spans="1:13" x14ac:dyDescent="0.25">
      <c r="A23" s="1" t="s">
        <v>441</v>
      </c>
      <c r="C23" s="481">
        <f>1/Efficiency!$E$21</f>
        <v>6.3296703296703297E-2</v>
      </c>
      <c r="D23" s="481">
        <f>1/Efficiency!$E$21</f>
        <v>6.3296703296703297E-2</v>
      </c>
      <c r="E23" s="481">
        <f>1/Efficiency!$E$21</f>
        <v>6.3296703296703297E-2</v>
      </c>
      <c r="F23" s="481">
        <f>1/Efficiency!$E$21</f>
        <v>6.3296703296703297E-2</v>
      </c>
      <c r="G23" s="481">
        <f>1/Efficiency!$E$21</f>
        <v>6.3296703296703297E-2</v>
      </c>
      <c r="H23" s="481">
        <f>1/Efficiency!$E$21</f>
        <v>6.3296703296703297E-2</v>
      </c>
      <c r="I23" s="481">
        <f>1/Efficiency!$E$21</f>
        <v>6.3296703296703297E-2</v>
      </c>
      <c r="J23" s="481">
        <f>1/Efficiency!$E$21</f>
        <v>6.3296703296703297E-2</v>
      </c>
      <c r="K23" s="481">
        <f>1/Efficiency!$E$21</f>
        <v>6.3296703296703297E-2</v>
      </c>
      <c r="L23" s="481">
        <f>1/Efficiency!$E$21</f>
        <v>6.3296703296703297E-2</v>
      </c>
      <c r="M23" s="484">
        <f t="shared" si="1"/>
        <v>6.3296703296703311E-2</v>
      </c>
    </row>
    <row r="24" spans="1:13" x14ac:dyDescent="0.25">
      <c r="A24" s="1" t="s">
        <v>435</v>
      </c>
      <c r="C24" s="22">
        <f t="shared" ref="C24:L24" si="3">+I7</f>
        <v>0.68</v>
      </c>
      <c r="D24" s="22">
        <f t="shared" si="3"/>
        <v>0.73499999999999999</v>
      </c>
      <c r="E24" s="22">
        <f t="shared" si="3"/>
        <v>0.61699999999999999</v>
      </c>
      <c r="F24" s="22">
        <f t="shared" si="3"/>
        <v>0.57899999999999996</v>
      </c>
      <c r="G24" s="22">
        <f t="shared" si="3"/>
        <v>0.61499999999999999</v>
      </c>
      <c r="H24" s="22">
        <f t="shared" si="3"/>
        <v>0.38200000000000001</v>
      </c>
      <c r="I24" s="22">
        <f t="shared" si="3"/>
        <v>0.45100000000000001</v>
      </c>
      <c r="J24" s="22">
        <f t="shared" si="3"/>
        <v>0.29499999999999998</v>
      </c>
      <c r="K24" s="22">
        <f t="shared" si="3"/>
        <v>0.42</v>
      </c>
      <c r="L24" s="22">
        <f t="shared" si="3"/>
        <v>0.61</v>
      </c>
      <c r="M24" s="484">
        <f t="shared" si="1"/>
        <v>0.53839999999999999</v>
      </c>
    </row>
    <row r="25" spans="1:13" x14ac:dyDescent="0.25">
      <c r="A25" s="1" t="s">
        <v>436</v>
      </c>
      <c r="C25" s="22">
        <f>+C22*C24*Efficiency!$B$7</f>
        <v>237.32</v>
      </c>
      <c r="D25" s="22">
        <f>+D22*D24*Efficiency!$B$7</f>
        <v>137.44499999999999</v>
      </c>
      <c r="E25" s="22">
        <f>+E22*E24*Efficiency!$B$7</f>
        <v>188.80199999999996</v>
      </c>
      <c r="F25" s="22">
        <f>+F22*F24*Efficiency!$B$7</f>
        <v>267.49799999999999</v>
      </c>
      <c r="G25" s="22">
        <f>+G22*G24*Efficiency!$B$7</f>
        <v>344.40000000000003</v>
      </c>
      <c r="H25" s="22">
        <f>+H22*H24*Efficiency!$B$7</f>
        <v>176.102</v>
      </c>
      <c r="I25" s="22">
        <f>+I22*I24*Efficiency!$B$7</f>
        <v>225.95099999999999</v>
      </c>
      <c r="J25" s="22">
        <f>+J22*J24*Efficiency!$B$7</f>
        <v>156.64499999999998</v>
      </c>
      <c r="K25" s="22">
        <f>+K22*K24*Efficiency!$B$7</f>
        <v>233.94</v>
      </c>
      <c r="L25" s="22">
        <f>+L22*L24*Efficiency!$B$7</f>
        <v>375.76000000000005</v>
      </c>
      <c r="M25" s="484">
        <f t="shared" si="1"/>
        <v>234.38630000000003</v>
      </c>
    </row>
    <row r="26" spans="1:13" x14ac:dyDescent="0.25">
      <c r="A26" s="1" t="s">
        <v>437</v>
      </c>
      <c r="C26" s="481">
        <f>(+Efficiency!$B$17*C22)/2000</f>
        <v>0.2742142857142858</v>
      </c>
      <c r="D26" s="481">
        <f>(+Efficiency!$B$17*D22)/2000</f>
        <v>0.14692857142857146</v>
      </c>
      <c r="E26" s="481">
        <f>(+Efficiency!$B$17*E22)/2000</f>
        <v>0.24042857142857146</v>
      </c>
      <c r="F26" s="481">
        <f>(+Efficiency!$B$17*F22)/2000</f>
        <v>0.3630000000000001</v>
      </c>
      <c r="G26" s="481">
        <f>(+Efficiency!$B$17*G22)/2000</f>
        <v>0.44000000000000011</v>
      </c>
      <c r="H26" s="481">
        <f>(+Efficiency!$B$17*H22)/2000</f>
        <v>0.36221428571428577</v>
      </c>
      <c r="I26" s="481">
        <f>(+Efficiency!$B$17*I22)/2000</f>
        <v>0.39364285714285724</v>
      </c>
      <c r="J26" s="481">
        <f>(+Efficiency!$B$17*J22)/2000</f>
        <v>0.41721428571428576</v>
      </c>
      <c r="K26" s="481">
        <f>(+Efficiency!$B$17*K22)/2000</f>
        <v>0.43764285714285722</v>
      </c>
      <c r="L26" s="481">
        <f>(+Efficiency!$B$17*L22)/2000</f>
        <v>0.48400000000000015</v>
      </c>
      <c r="M26" s="484">
        <f t="shared" si="1"/>
        <v>0.35592857142857148</v>
      </c>
    </row>
    <row r="27" spans="1:13" x14ac:dyDescent="0.25">
      <c r="A27" t="s">
        <v>438</v>
      </c>
      <c r="C27" s="31">
        <v>91</v>
      </c>
      <c r="D27" s="31">
        <v>114</v>
      </c>
      <c r="E27" s="31">
        <v>113</v>
      </c>
      <c r="F27" s="31">
        <v>106</v>
      </c>
      <c r="G27" s="31">
        <v>116</v>
      </c>
      <c r="H27" s="31">
        <v>60</v>
      </c>
      <c r="I27" s="31">
        <v>90.5</v>
      </c>
      <c r="J27" s="31">
        <v>36.799999999999997</v>
      </c>
      <c r="K27" s="31">
        <v>84.5</v>
      </c>
      <c r="L27" s="31">
        <v>110</v>
      </c>
      <c r="M27" s="484">
        <f t="shared" si="1"/>
        <v>92.179999999999993</v>
      </c>
    </row>
    <row r="28" spans="1:13" x14ac:dyDescent="0.25">
      <c r="A28" s="1" t="s">
        <v>439</v>
      </c>
      <c r="C28" s="31">
        <f t="shared" ref="C28:L28" si="4">+C26*C27</f>
        <v>24.953500000000009</v>
      </c>
      <c r="D28" s="31">
        <f t="shared" si="4"/>
        <v>16.749857142857145</v>
      </c>
      <c r="E28" s="31">
        <f t="shared" si="4"/>
        <v>27.168428571428574</v>
      </c>
      <c r="F28" s="31">
        <f t="shared" si="4"/>
        <v>38.478000000000009</v>
      </c>
      <c r="G28" s="31">
        <f t="shared" si="4"/>
        <v>51.040000000000013</v>
      </c>
      <c r="H28" s="31">
        <f t="shared" si="4"/>
        <v>21.732857142857146</v>
      </c>
      <c r="I28" s="31">
        <f t="shared" si="4"/>
        <v>35.624678571428582</v>
      </c>
      <c r="J28" s="31">
        <f t="shared" si="4"/>
        <v>15.353485714285714</v>
      </c>
      <c r="K28" s="31">
        <f t="shared" si="4"/>
        <v>36.980821428571439</v>
      </c>
      <c r="L28" s="31">
        <f t="shared" si="4"/>
        <v>53.240000000000016</v>
      </c>
      <c r="M28" s="484">
        <f t="shared" si="1"/>
        <v>32.132162857142859</v>
      </c>
    </row>
    <row r="30" spans="1:13" ht="13.8" thickBot="1" x14ac:dyDescent="0.3">
      <c r="A30" s="260"/>
      <c r="C30" s="260"/>
      <c r="D30" s="260"/>
      <c r="E30" s="260"/>
      <c r="F30" s="260"/>
      <c r="G30" s="260"/>
      <c r="H30" s="260"/>
    </row>
    <row r="31" spans="1:13" x14ac:dyDescent="0.25">
      <c r="A31" s="473" t="s">
        <v>440</v>
      </c>
      <c r="C31" s="482">
        <f t="shared" ref="C31:L31" si="5">+C25+C28</f>
        <v>262.27350000000001</v>
      </c>
      <c r="D31" s="482">
        <f t="shared" si="5"/>
        <v>154.19485714285713</v>
      </c>
      <c r="E31" s="482">
        <f t="shared" si="5"/>
        <v>215.97042857142853</v>
      </c>
      <c r="F31" s="482">
        <f t="shared" si="5"/>
        <v>305.976</v>
      </c>
      <c r="G31" s="482">
        <f t="shared" si="5"/>
        <v>395.44000000000005</v>
      </c>
      <c r="H31" s="482">
        <f t="shared" si="5"/>
        <v>197.83485714285715</v>
      </c>
      <c r="I31" s="482">
        <f t="shared" si="5"/>
        <v>261.57567857142857</v>
      </c>
      <c r="J31" s="482">
        <f t="shared" si="5"/>
        <v>171.99848571428569</v>
      </c>
      <c r="K31" s="482">
        <f t="shared" si="5"/>
        <v>270.92082142857146</v>
      </c>
      <c r="L31" s="482">
        <f t="shared" si="5"/>
        <v>429.00000000000006</v>
      </c>
      <c r="M31" s="484">
        <f>AVERAGE(C31:L31)</f>
        <v>266.51846285714288</v>
      </c>
    </row>
    <row r="33" spans="1:14" x14ac:dyDescent="0.25">
      <c r="A33" s="1" t="s">
        <v>426</v>
      </c>
    </row>
    <row r="34" spans="1:14" x14ac:dyDescent="0.25">
      <c r="A34" t="s">
        <v>427</v>
      </c>
      <c r="C34" s="22">
        <v>13.75</v>
      </c>
      <c r="D34" s="22">
        <v>13.75</v>
      </c>
      <c r="E34" s="22">
        <v>13.75</v>
      </c>
      <c r="F34" s="22">
        <v>13.75</v>
      </c>
      <c r="G34" s="22">
        <v>13.75</v>
      </c>
      <c r="H34" s="22">
        <v>13.75</v>
      </c>
      <c r="I34" s="22">
        <f>+H34</f>
        <v>13.75</v>
      </c>
      <c r="J34" s="22">
        <f>+I34</f>
        <v>13.75</v>
      </c>
      <c r="K34" s="22">
        <f>+J34</f>
        <v>13.75</v>
      </c>
      <c r="L34" s="22">
        <f>+K34</f>
        <v>13.75</v>
      </c>
      <c r="M34" s="484">
        <f t="shared" ref="M34:M44" si="6">AVERAGE(C34:L34)</f>
        <v>13.75</v>
      </c>
    </row>
    <row r="35" spans="1:14" x14ac:dyDescent="0.25">
      <c r="A35" t="s">
        <v>428</v>
      </c>
      <c r="C35" s="22">
        <v>17</v>
      </c>
      <c r="D35" s="22">
        <v>17</v>
      </c>
      <c r="E35" s="22">
        <v>17</v>
      </c>
      <c r="F35" s="22">
        <v>17</v>
      </c>
      <c r="G35" s="22">
        <v>17</v>
      </c>
      <c r="H35" s="22">
        <v>17</v>
      </c>
      <c r="I35" s="22">
        <f t="shared" ref="I35:L40" si="7">+H35</f>
        <v>17</v>
      </c>
      <c r="J35" s="22">
        <f t="shared" si="7"/>
        <v>17</v>
      </c>
      <c r="K35" s="22">
        <f t="shared" si="7"/>
        <v>17</v>
      </c>
      <c r="L35" s="22">
        <f t="shared" si="7"/>
        <v>17</v>
      </c>
      <c r="M35" s="484">
        <f t="shared" si="6"/>
        <v>17</v>
      </c>
    </row>
    <row r="36" spans="1:14" x14ac:dyDescent="0.25">
      <c r="A36" t="s">
        <v>429</v>
      </c>
      <c r="C36" s="22">
        <v>21.5</v>
      </c>
      <c r="D36" s="22">
        <v>21.5</v>
      </c>
      <c r="E36" s="22">
        <v>21.5</v>
      </c>
      <c r="F36" s="22">
        <v>21.5</v>
      </c>
      <c r="G36" s="22">
        <v>21.5</v>
      </c>
      <c r="H36" s="22">
        <v>21.5</v>
      </c>
      <c r="I36" s="22">
        <f t="shared" si="7"/>
        <v>21.5</v>
      </c>
      <c r="J36" s="22">
        <f t="shared" si="7"/>
        <v>21.5</v>
      </c>
      <c r="K36" s="22">
        <f t="shared" si="7"/>
        <v>21.5</v>
      </c>
      <c r="L36" s="22">
        <f t="shared" si="7"/>
        <v>21.5</v>
      </c>
      <c r="M36" s="484">
        <f t="shared" si="6"/>
        <v>21.5</v>
      </c>
    </row>
    <row r="37" spans="1:14" x14ac:dyDescent="0.25">
      <c r="A37" t="s">
        <v>430</v>
      </c>
      <c r="C37" s="22">
        <v>26.54</v>
      </c>
      <c r="D37" s="22">
        <v>26.54</v>
      </c>
      <c r="E37" s="22">
        <v>26.54</v>
      </c>
      <c r="F37" s="22">
        <v>26.54</v>
      </c>
      <c r="G37" s="22">
        <v>26.54</v>
      </c>
      <c r="H37" s="22">
        <v>26.54</v>
      </c>
      <c r="I37" s="22">
        <f t="shared" si="7"/>
        <v>26.54</v>
      </c>
      <c r="J37" s="22">
        <f t="shared" si="7"/>
        <v>26.54</v>
      </c>
      <c r="K37" s="22">
        <f t="shared" si="7"/>
        <v>26.54</v>
      </c>
      <c r="L37" s="22">
        <f t="shared" si="7"/>
        <v>26.54</v>
      </c>
      <c r="M37" s="484">
        <f t="shared" si="6"/>
        <v>26.54</v>
      </c>
    </row>
    <row r="38" spans="1:14" x14ac:dyDescent="0.25">
      <c r="A38" t="s">
        <v>431</v>
      </c>
      <c r="B38">
        <v>20</v>
      </c>
      <c r="C38" s="22">
        <v>20</v>
      </c>
      <c r="D38" s="22">
        <v>20</v>
      </c>
      <c r="E38" s="22">
        <v>20</v>
      </c>
      <c r="F38" s="22">
        <v>20</v>
      </c>
      <c r="G38" s="22">
        <v>20</v>
      </c>
      <c r="H38" s="22">
        <v>20</v>
      </c>
      <c r="I38" s="22">
        <v>20</v>
      </c>
      <c r="J38" s="22">
        <v>20</v>
      </c>
      <c r="K38" s="22">
        <v>20</v>
      </c>
      <c r="L38" s="22">
        <v>20</v>
      </c>
      <c r="M38" s="484">
        <f t="shared" si="6"/>
        <v>20</v>
      </c>
    </row>
    <row r="39" spans="1:14" x14ac:dyDescent="0.25">
      <c r="A39" t="s">
        <v>478</v>
      </c>
      <c r="B39">
        <v>5</v>
      </c>
      <c r="C39" s="22">
        <v>5</v>
      </c>
      <c r="D39" s="22">
        <v>5</v>
      </c>
      <c r="E39" s="22">
        <v>5</v>
      </c>
      <c r="F39" s="22">
        <v>5</v>
      </c>
      <c r="G39" s="22">
        <v>5</v>
      </c>
      <c r="H39" s="22">
        <v>5</v>
      </c>
      <c r="I39" s="22">
        <v>5</v>
      </c>
      <c r="J39" s="22">
        <v>5</v>
      </c>
      <c r="K39" s="22">
        <v>5</v>
      </c>
      <c r="L39" s="22">
        <v>5</v>
      </c>
      <c r="M39" s="484">
        <f t="shared" si="6"/>
        <v>5</v>
      </c>
    </row>
    <row r="40" spans="1:14" ht="13.8" thickBot="1" x14ac:dyDescent="0.3">
      <c r="A40" s="260" t="s">
        <v>41</v>
      </c>
      <c r="B40">
        <v>5</v>
      </c>
      <c r="C40" s="474">
        <v>12.5</v>
      </c>
      <c r="D40" s="474">
        <v>12.5</v>
      </c>
      <c r="E40" s="474">
        <v>12.5</v>
      </c>
      <c r="F40" s="474">
        <v>12.5</v>
      </c>
      <c r="G40" s="474">
        <v>12.5</v>
      </c>
      <c r="H40" s="474">
        <v>12.5</v>
      </c>
      <c r="I40" s="22">
        <f t="shared" si="7"/>
        <v>12.5</v>
      </c>
      <c r="J40" s="22">
        <f t="shared" si="7"/>
        <v>12.5</v>
      </c>
      <c r="K40" s="22">
        <f t="shared" si="7"/>
        <v>12.5</v>
      </c>
      <c r="L40" s="22">
        <f t="shared" si="7"/>
        <v>12.5</v>
      </c>
      <c r="M40" s="484">
        <f t="shared" si="6"/>
        <v>12.5</v>
      </c>
      <c r="N40" s="6">
        <f>SUM(M34:M40)</f>
        <v>116.28999999999999</v>
      </c>
    </row>
    <row r="41" spans="1:14" x14ac:dyDescent="0.25">
      <c r="A41" s="17" t="s">
        <v>479</v>
      </c>
      <c r="C41" s="297">
        <v>4</v>
      </c>
      <c r="D41" s="297">
        <v>4</v>
      </c>
      <c r="E41" s="297">
        <v>4</v>
      </c>
      <c r="F41" s="297">
        <v>4</v>
      </c>
      <c r="G41" s="297">
        <v>4</v>
      </c>
      <c r="H41" s="297">
        <v>4</v>
      </c>
      <c r="I41" s="297">
        <v>4</v>
      </c>
      <c r="J41" s="297">
        <v>4</v>
      </c>
      <c r="K41" s="297">
        <v>4</v>
      </c>
      <c r="L41" s="297">
        <v>4</v>
      </c>
      <c r="M41" s="484">
        <f t="shared" si="6"/>
        <v>4</v>
      </c>
    </row>
    <row r="42" spans="1:14" x14ac:dyDescent="0.25">
      <c r="A42" s="17" t="s">
        <v>456</v>
      </c>
      <c r="C42" s="297">
        <v>6.5</v>
      </c>
      <c r="D42" s="297">
        <v>6.5</v>
      </c>
      <c r="E42" s="297">
        <v>6.5</v>
      </c>
      <c r="F42" s="297">
        <v>6.5</v>
      </c>
      <c r="G42" s="297">
        <v>6.5</v>
      </c>
      <c r="H42" s="297">
        <v>6.5</v>
      </c>
      <c r="I42" s="297">
        <v>6.5</v>
      </c>
      <c r="J42" s="297">
        <v>6.5</v>
      </c>
      <c r="K42" s="297">
        <v>6.5</v>
      </c>
      <c r="L42" s="297">
        <v>6.5</v>
      </c>
      <c r="M42" s="484">
        <f t="shared" si="6"/>
        <v>6.5</v>
      </c>
    </row>
    <row r="43" spans="1:14" x14ac:dyDescent="0.25">
      <c r="A43" s="17" t="s">
        <v>457</v>
      </c>
      <c r="C43" s="297">
        <f>0.09*C22*Efficiency!$B$7</f>
        <v>31.409999999999997</v>
      </c>
      <c r="D43" s="297">
        <f>0.09*D22*Efficiency!$B$7</f>
        <v>16.829999999999998</v>
      </c>
      <c r="E43" s="297">
        <f>0.09*E22*Efficiency!$B$7</f>
        <v>27.54</v>
      </c>
      <c r="F43" s="297">
        <f>0.09*F22*Efficiency!$B$7</f>
        <v>41.58</v>
      </c>
      <c r="G43" s="297">
        <f>0.09*G22*Efficiency!$B$7</f>
        <v>50.4</v>
      </c>
      <c r="H43" s="297">
        <f>0.09*H22*Efficiency!$B$7</f>
        <v>41.49</v>
      </c>
      <c r="I43" s="297">
        <f>0.09*I22*Efficiency!$B$7</f>
        <v>45.089999999999996</v>
      </c>
      <c r="J43" s="297">
        <f>0.09*J22*Efficiency!$B$7</f>
        <v>47.79</v>
      </c>
      <c r="K43" s="297">
        <f>0.09*K22*Efficiency!$B$7</f>
        <v>50.129999999999995</v>
      </c>
      <c r="L43" s="297">
        <f>0.09*L22*Efficiency!$B$7</f>
        <v>55.440000000000005</v>
      </c>
      <c r="M43" s="484">
        <f t="shared" si="6"/>
        <v>40.769999999999996</v>
      </c>
    </row>
    <row r="44" spans="1:14" x14ac:dyDescent="0.25">
      <c r="A44" s="473" t="s">
        <v>432</v>
      </c>
      <c r="C44" s="483">
        <f>SUM(C34:C43)</f>
        <v>158.19999999999999</v>
      </c>
      <c r="D44" s="483">
        <f t="shared" ref="D44:L44" si="8">SUM(D34:D43)</f>
        <v>143.62</v>
      </c>
      <c r="E44" s="483">
        <f t="shared" si="8"/>
        <v>154.32999999999998</v>
      </c>
      <c r="F44" s="483">
        <f t="shared" si="8"/>
        <v>168.37</v>
      </c>
      <c r="G44" s="483">
        <f t="shared" si="8"/>
        <v>177.19</v>
      </c>
      <c r="H44" s="483">
        <f t="shared" si="8"/>
        <v>168.28</v>
      </c>
      <c r="I44" s="483">
        <f t="shared" si="8"/>
        <v>171.88</v>
      </c>
      <c r="J44" s="483">
        <f t="shared" si="8"/>
        <v>174.57999999999998</v>
      </c>
      <c r="K44" s="483">
        <f t="shared" si="8"/>
        <v>176.92</v>
      </c>
      <c r="L44" s="483">
        <f t="shared" si="8"/>
        <v>182.23</v>
      </c>
      <c r="M44" s="484">
        <f t="shared" si="6"/>
        <v>167.56</v>
      </c>
      <c r="N44" s="6">
        <f>+M44-N40</f>
        <v>51.27000000000001</v>
      </c>
    </row>
    <row r="45" spans="1:14" x14ac:dyDescent="0.25">
      <c r="B45" t="s">
        <v>477</v>
      </c>
    </row>
    <row r="46" spans="1:14" x14ac:dyDescent="0.25">
      <c r="A46" t="s">
        <v>260</v>
      </c>
      <c r="B46" s="7">
        <f>+'Input Value'!F24</f>
        <v>2.25</v>
      </c>
      <c r="C46" s="7">
        <f>+$B$46*(C20/100)</f>
        <v>44.865000000000002</v>
      </c>
      <c r="D46" s="7">
        <f t="shared" ref="D46:L46" si="9">+$B$46*(D20/100)</f>
        <v>44.887499999999996</v>
      </c>
      <c r="E46" s="7">
        <f t="shared" si="9"/>
        <v>44.910000000000004</v>
      </c>
      <c r="F46" s="7">
        <f t="shared" si="9"/>
        <v>44.932499999999997</v>
      </c>
      <c r="G46" s="7">
        <f t="shared" si="9"/>
        <v>44.954999999999998</v>
      </c>
      <c r="H46" s="7">
        <f t="shared" si="9"/>
        <v>44.977499999999999</v>
      </c>
      <c r="I46" s="7">
        <f t="shared" si="9"/>
        <v>45</v>
      </c>
      <c r="J46" s="7">
        <f t="shared" si="9"/>
        <v>45.022500000000001</v>
      </c>
      <c r="K46" s="7">
        <f t="shared" si="9"/>
        <v>45.045000000000002</v>
      </c>
      <c r="L46" s="7">
        <f t="shared" si="9"/>
        <v>45.067500000000003</v>
      </c>
      <c r="M46" s="484">
        <f t="shared" ref="M46:M53" si="10">AVERAGE(C46:L46)</f>
        <v>44.966250000000002</v>
      </c>
    </row>
    <row r="47" spans="1:14" x14ac:dyDescent="0.25">
      <c r="A47" t="s">
        <v>466</v>
      </c>
      <c r="B47" s="7">
        <f>+'Input Value'!F25</f>
        <v>7.5</v>
      </c>
      <c r="C47" s="7">
        <f>+$B$47*C22</f>
        <v>5.453125</v>
      </c>
      <c r="D47" s="7">
        <f t="shared" ref="D47:L47" si="11">+$B$47*D22</f>
        <v>2.921875</v>
      </c>
      <c r="E47" s="7">
        <f t="shared" si="11"/>
        <v>4.78125</v>
      </c>
      <c r="F47" s="7">
        <f t="shared" si="11"/>
        <v>7.21875</v>
      </c>
      <c r="G47" s="7">
        <f t="shared" si="11"/>
        <v>8.75</v>
      </c>
      <c r="H47" s="7">
        <f t="shared" si="11"/>
        <v>7.203125</v>
      </c>
      <c r="I47" s="7">
        <f t="shared" si="11"/>
        <v>7.828125</v>
      </c>
      <c r="J47" s="7">
        <f t="shared" si="11"/>
        <v>8.296875</v>
      </c>
      <c r="K47" s="7">
        <f t="shared" si="11"/>
        <v>8.703125</v>
      </c>
      <c r="L47" s="7">
        <f t="shared" si="11"/>
        <v>9.625</v>
      </c>
      <c r="M47" s="484">
        <f t="shared" si="10"/>
        <v>7.078125</v>
      </c>
    </row>
    <row r="48" spans="1:14" x14ac:dyDescent="0.25">
      <c r="A48" t="s">
        <v>349</v>
      </c>
      <c r="B48" s="7">
        <f>+'Input Value'!F28</f>
        <v>55</v>
      </c>
      <c r="C48" s="7">
        <f>'Input Value'!$F$28*C23</f>
        <v>3.4813186813186814</v>
      </c>
      <c r="D48" s="7">
        <f>'Input Value'!$F$28*D23</f>
        <v>3.4813186813186814</v>
      </c>
      <c r="E48" s="7">
        <f>'Input Value'!$F$28*E23</f>
        <v>3.4813186813186814</v>
      </c>
      <c r="F48" s="7">
        <f>'Input Value'!$F$28*F23</f>
        <v>3.4813186813186814</v>
      </c>
      <c r="G48" s="7">
        <f>'Input Value'!$F$28*G23</f>
        <v>3.4813186813186814</v>
      </c>
      <c r="H48" s="7">
        <f>'Input Value'!$F$28*H23</f>
        <v>3.4813186813186814</v>
      </c>
      <c r="I48" s="7">
        <f>'Input Value'!$F$28*I23</f>
        <v>3.4813186813186814</v>
      </c>
      <c r="J48" s="7">
        <f>'Input Value'!$F$28*J23</f>
        <v>3.4813186813186814</v>
      </c>
      <c r="K48" s="7">
        <f>'Input Value'!$F$28*K23</f>
        <v>3.4813186813186814</v>
      </c>
      <c r="L48" s="7">
        <f>'Input Value'!$F$28*L23</f>
        <v>3.4813186813186814</v>
      </c>
      <c r="M48" s="484">
        <f t="shared" si="10"/>
        <v>3.4813186813186823</v>
      </c>
    </row>
    <row r="49" spans="1:13" x14ac:dyDescent="0.25">
      <c r="A49" t="s">
        <v>468</v>
      </c>
      <c r="B49" s="7">
        <f>+'Input Value'!$F$30</f>
        <v>3.5</v>
      </c>
      <c r="C49" s="7">
        <f>+'Input Value'!$F$30*C22</f>
        <v>2.5447916666666668</v>
      </c>
      <c r="D49" s="7">
        <f>+'Input Value'!$F$30*D22</f>
        <v>1.3635416666666667</v>
      </c>
      <c r="E49" s="7">
        <f>+'Input Value'!$F$30*E22</f>
        <v>2.2312499999999997</v>
      </c>
      <c r="F49" s="7">
        <f>+'Input Value'!$F$30*F22</f>
        <v>3.3687499999999999</v>
      </c>
      <c r="G49" s="7">
        <f>+'Input Value'!$F$30*G22</f>
        <v>4.0833333333333339</v>
      </c>
      <c r="H49" s="7">
        <f>+'Input Value'!$F$30*H22</f>
        <v>3.3614583333333332</v>
      </c>
      <c r="I49" s="7">
        <f>+'Input Value'!$F$30*I22</f>
        <v>3.6531249999999997</v>
      </c>
      <c r="J49" s="7">
        <f>+'Input Value'!$F$30*J22</f>
        <v>3.8718749999999997</v>
      </c>
      <c r="K49" s="7">
        <f>+'Input Value'!$F$30*K22</f>
        <v>4.0614583333333334</v>
      </c>
      <c r="L49" s="7">
        <f>+'Input Value'!$F$30*L22</f>
        <v>4.4916666666666671</v>
      </c>
      <c r="M49" s="484">
        <f t="shared" si="10"/>
        <v>3.3031250000000001</v>
      </c>
    </row>
    <row r="50" spans="1:13" x14ac:dyDescent="0.25">
      <c r="A50" t="s">
        <v>467</v>
      </c>
      <c r="B50" s="22">
        <v>1.3</v>
      </c>
      <c r="C50" s="7">
        <f>+$B$50*C22</f>
        <v>0.94520833333333332</v>
      </c>
      <c r="D50" s="7">
        <f t="shared" ref="D50:L50" si="12">+$B$50*D22</f>
        <v>0.50645833333333334</v>
      </c>
      <c r="E50" s="7">
        <f t="shared" si="12"/>
        <v>0.82874999999999999</v>
      </c>
      <c r="F50" s="7">
        <f t="shared" si="12"/>
        <v>1.25125</v>
      </c>
      <c r="G50" s="7">
        <f t="shared" si="12"/>
        <v>1.5166666666666668</v>
      </c>
      <c r="H50" s="7">
        <f t="shared" si="12"/>
        <v>1.2485416666666667</v>
      </c>
      <c r="I50" s="7">
        <f t="shared" si="12"/>
        <v>1.3568750000000001</v>
      </c>
      <c r="J50" s="7">
        <f t="shared" si="12"/>
        <v>1.4381250000000001</v>
      </c>
      <c r="K50" s="7">
        <f t="shared" si="12"/>
        <v>1.5085416666666667</v>
      </c>
      <c r="L50" s="7">
        <f t="shared" si="12"/>
        <v>1.6683333333333334</v>
      </c>
      <c r="M50" s="484">
        <f t="shared" si="10"/>
        <v>1.2268749999999999</v>
      </c>
    </row>
    <row r="51" spans="1:13" x14ac:dyDescent="0.25">
      <c r="A51" t="s">
        <v>469</v>
      </c>
      <c r="B51" s="22">
        <v>8.5</v>
      </c>
      <c r="C51" s="7">
        <f>+$B$51*C22</f>
        <v>6.1802083333333329</v>
      </c>
      <c r="D51" s="7">
        <f t="shared" ref="D51:L51" si="13">+$B$51*D22</f>
        <v>3.3114583333333334</v>
      </c>
      <c r="E51" s="7">
        <f t="shared" si="13"/>
        <v>5.4187499999999993</v>
      </c>
      <c r="F51" s="7">
        <f t="shared" si="13"/>
        <v>8.1812500000000004</v>
      </c>
      <c r="G51" s="7">
        <f t="shared" si="13"/>
        <v>9.9166666666666679</v>
      </c>
      <c r="H51" s="7">
        <f t="shared" si="13"/>
        <v>8.1635416666666671</v>
      </c>
      <c r="I51" s="7">
        <f t="shared" si="13"/>
        <v>8.8718749999999993</v>
      </c>
      <c r="J51" s="7">
        <f t="shared" si="13"/>
        <v>9.4031249999999993</v>
      </c>
      <c r="K51" s="7">
        <f t="shared" si="13"/>
        <v>9.8635416666666664</v>
      </c>
      <c r="L51" s="7">
        <f t="shared" si="13"/>
        <v>10.908333333333335</v>
      </c>
      <c r="M51" s="484">
        <f t="shared" si="10"/>
        <v>8.0218749999999996</v>
      </c>
    </row>
    <row r="52" spans="1:13" x14ac:dyDescent="0.25">
      <c r="A52" t="s">
        <v>470</v>
      </c>
      <c r="B52" s="22">
        <v>1</v>
      </c>
      <c r="C52" s="7">
        <f>+$B$52*C22</f>
        <v>0.7270833333333333</v>
      </c>
      <c r="D52" s="7">
        <f t="shared" ref="D52:L52" si="14">+$B$52*D22</f>
        <v>0.38958333333333334</v>
      </c>
      <c r="E52" s="7">
        <f t="shared" si="14"/>
        <v>0.63749999999999996</v>
      </c>
      <c r="F52" s="7">
        <f t="shared" si="14"/>
        <v>0.96250000000000002</v>
      </c>
      <c r="G52" s="7">
        <f t="shared" si="14"/>
        <v>1.1666666666666667</v>
      </c>
      <c r="H52" s="7">
        <f t="shared" si="14"/>
        <v>0.9604166666666667</v>
      </c>
      <c r="I52" s="7">
        <f t="shared" si="14"/>
        <v>1.04375</v>
      </c>
      <c r="J52" s="7">
        <f t="shared" si="14"/>
        <v>1.10625</v>
      </c>
      <c r="K52" s="7">
        <f t="shared" si="14"/>
        <v>1.1604166666666667</v>
      </c>
      <c r="L52" s="7">
        <f t="shared" si="14"/>
        <v>1.2833333333333334</v>
      </c>
      <c r="M52" s="484">
        <f t="shared" si="10"/>
        <v>0.94374999999999998</v>
      </c>
    </row>
    <row r="53" spans="1:13" x14ac:dyDescent="0.25">
      <c r="A53" t="s">
        <v>442</v>
      </c>
      <c r="C53" s="7">
        <f>SUM(C46:C52)</f>
        <v>64.196735347985353</v>
      </c>
      <c r="D53" s="7">
        <f t="shared" ref="D53:L53" si="15">SUM(D46:D49)</f>
        <v>52.654235347985349</v>
      </c>
      <c r="E53" s="7">
        <f t="shared" si="15"/>
        <v>55.40381868131869</v>
      </c>
      <c r="F53" s="7">
        <f t="shared" si="15"/>
        <v>59.001318681318679</v>
      </c>
      <c r="G53" s="7">
        <f t="shared" si="15"/>
        <v>61.269652014652017</v>
      </c>
      <c r="H53" s="7">
        <f t="shared" si="15"/>
        <v>59.023402014652014</v>
      </c>
      <c r="I53" s="7">
        <f t="shared" si="15"/>
        <v>59.962568681318686</v>
      </c>
      <c r="J53" s="7">
        <f t="shared" si="15"/>
        <v>60.672568681318687</v>
      </c>
      <c r="K53" s="7">
        <f t="shared" si="15"/>
        <v>61.290902014652019</v>
      </c>
      <c r="L53" s="7">
        <f t="shared" si="15"/>
        <v>62.665485347985353</v>
      </c>
      <c r="M53" s="491">
        <f t="shared" si="10"/>
        <v>59.614068681318692</v>
      </c>
    </row>
    <row r="55" spans="1:13" x14ac:dyDescent="0.25">
      <c r="A55" t="s">
        <v>443</v>
      </c>
      <c r="C55" s="7">
        <f t="shared" ref="C55:L55" si="16">+C31-C44-C53</f>
        <v>39.876764652014671</v>
      </c>
      <c r="D55" s="7">
        <f t="shared" si="16"/>
        <v>-42.079378205128222</v>
      </c>
      <c r="E55" s="7">
        <f t="shared" si="16"/>
        <v>6.2366098901098539</v>
      </c>
      <c r="F55" s="7">
        <f t="shared" si="16"/>
        <v>78.604681318681315</v>
      </c>
      <c r="G55" s="7">
        <f t="shared" si="16"/>
        <v>156.98034798534803</v>
      </c>
      <c r="H55" s="7">
        <f t="shared" si="16"/>
        <v>-29.468544871794869</v>
      </c>
      <c r="I55" s="7">
        <f t="shared" si="16"/>
        <v>29.733109890109887</v>
      </c>
      <c r="J55" s="7">
        <f t="shared" si="16"/>
        <v>-63.254082967032979</v>
      </c>
      <c r="K55" s="7">
        <f t="shared" si="16"/>
        <v>32.709919413919451</v>
      </c>
      <c r="L55" s="7">
        <f t="shared" si="16"/>
        <v>184.1045146520147</v>
      </c>
      <c r="M55" s="491">
        <f>AVERAGE(C55:L55)</f>
        <v>39.344394175824178</v>
      </c>
    </row>
    <row r="57" spans="1:13" x14ac:dyDescent="0.25">
      <c r="A57" t="s">
        <v>444</v>
      </c>
      <c r="C57" s="6">
        <f>'Operations Summary'!D24/$B$16</f>
        <v>13.82151703030593</v>
      </c>
      <c r="D57" s="6">
        <f>'Operations Summary'!E24/$B$16</f>
        <v>9.2448477316499282</v>
      </c>
      <c r="E57" s="6">
        <f>'Operations Summary'!F24/$B$16</f>
        <v>12.728109979850192</v>
      </c>
      <c r="F57" s="6">
        <f>'Operations Summary'!G24/$B$16</f>
        <v>16.573988447391496</v>
      </c>
      <c r="G57" s="6">
        <f>'Operations Summary'!H24/$B$16</f>
        <v>16.673640604547693</v>
      </c>
      <c r="H57" s="6">
        <f>'Operations Summary'!I24/$B$16</f>
        <v>17.078239364071759</v>
      </c>
      <c r="I57" s="6">
        <f>'Operations Summary'!J24/$B$16</f>
        <v>19.262130469217741</v>
      </c>
      <c r="J57" s="6">
        <f>'Operations Summary'!K24/$B$16</f>
        <v>21.162676723364839</v>
      </c>
      <c r="K57" s="6">
        <f>'Operations Summary'!L24/$B$16</f>
        <v>21.327876471505078</v>
      </c>
      <c r="L57" s="6">
        <f>'Operations Summary'!M24/$B$16</f>
        <v>21.514038916824866</v>
      </c>
      <c r="M57" s="491">
        <f>AVERAGE(C57:L57)</f>
        <v>16.938706573872953</v>
      </c>
    </row>
    <row r="58" spans="1:13" x14ac:dyDescent="0.25">
      <c r="A58" t="s">
        <v>448</v>
      </c>
      <c r="C58" s="6">
        <f t="shared" ref="C58:L58" si="17">+C55+C57</f>
        <v>53.698281682320598</v>
      </c>
      <c r="D58" s="6">
        <f t="shared" si="17"/>
        <v>-32.834530473478296</v>
      </c>
      <c r="E58" s="6">
        <f t="shared" si="17"/>
        <v>18.964719869960046</v>
      </c>
      <c r="F58" s="6">
        <f t="shared" si="17"/>
        <v>95.178669766072815</v>
      </c>
      <c r="G58" s="6">
        <f t="shared" si="17"/>
        <v>173.65398858989573</v>
      </c>
      <c r="H58" s="6">
        <f t="shared" si="17"/>
        <v>-12.390305507723109</v>
      </c>
      <c r="I58" s="6">
        <f t="shared" si="17"/>
        <v>48.995240359327624</v>
      </c>
      <c r="J58" s="6">
        <f t="shared" si="17"/>
        <v>-42.091406243668139</v>
      </c>
      <c r="K58" s="6">
        <f t="shared" si="17"/>
        <v>54.037795885424529</v>
      </c>
      <c r="L58" s="6">
        <f t="shared" si="17"/>
        <v>205.61855356883956</v>
      </c>
      <c r="M58" s="491">
        <f>AVERAGE(C58:L58)</f>
        <v>56.283100749697134</v>
      </c>
    </row>
    <row r="59" spans="1:13" x14ac:dyDescent="0.25">
      <c r="A59" t="s">
        <v>447</v>
      </c>
      <c r="C59" s="317">
        <f t="shared" ref="C59:L59" si="18">+C57/$B$17</f>
        <v>0.245513729590908</v>
      </c>
      <c r="D59" s="317">
        <f t="shared" si="18"/>
        <v>0.1642176499960642</v>
      </c>
      <c r="E59" s="317">
        <f t="shared" si="18"/>
        <v>0.2260913722382549</v>
      </c>
      <c r="F59" s="317">
        <f t="shared" si="18"/>
        <v>0.29440630207186752</v>
      </c>
      <c r="G59" s="317">
        <f t="shared" si="18"/>
        <v>0.29617643864309567</v>
      </c>
      <c r="H59" s="317">
        <f t="shared" si="18"/>
        <v>0.30336338854308142</v>
      </c>
      <c r="I59" s="317">
        <f t="shared" si="18"/>
        <v>0.34215618162571831</v>
      </c>
      <c r="J59" s="317">
        <f t="shared" si="18"/>
        <v>0.37591587660656339</v>
      </c>
      <c r="K59" s="317">
        <f t="shared" si="18"/>
        <v>0.37885034510263782</v>
      </c>
      <c r="L59" s="317">
        <f t="shared" si="18"/>
        <v>0.38215717720797093</v>
      </c>
      <c r="M59" s="3">
        <f>AVERAGE(C59:L59)</f>
        <v>0.30088484616261624</v>
      </c>
    </row>
    <row r="60" spans="1:13" x14ac:dyDescent="0.25">
      <c r="A60" t="s">
        <v>458</v>
      </c>
      <c r="C60" s="317">
        <f>+C55/C44</f>
        <v>0.25206551613157191</v>
      </c>
      <c r="D60" s="317">
        <f t="shared" ref="D60:L60" si="19">+D55/D44</f>
        <v>-0.29299107509489081</v>
      </c>
      <c r="E60" s="317">
        <f t="shared" si="19"/>
        <v>4.041087209298163E-2</v>
      </c>
      <c r="F60" s="317">
        <f t="shared" si="19"/>
        <v>0.46685681130059581</v>
      </c>
      <c r="G60" s="317">
        <f t="shared" si="19"/>
        <v>0.88594360847309683</v>
      </c>
      <c r="H60" s="317">
        <f t="shared" si="19"/>
        <v>-0.17511614494767572</v>
      </c>
      <c r="I60" s="317">
        <f t="shared" si="19"/>
        <v>0.17298760699389043</v>
      </c>
      <c r="J60" s="317">
        <f t="shared" si="19"/>
        <v>-0.36232147420685634</v>
      </c>
      <c r="K60" s="317">
        <f t="shared" si="19"/>
        <v>0.18488536860682486</v>
      </c>
      <c r="L60" s="317">
        <f t="shared" si="19"/>
        <v>1.0102865315920249</v>
      </c>
      <c r="M60" s="3">
        <f>AVERAGE(C60:L60)</f>
        <v>0.21830076209415633</v>
      </c>
    </row>
    <row r="61" spans="1:13" x14ac:dyDescent="0.25">
      <c r="A61" t="s">
        <v>459</v>
      </c>
      <c r="C61" s="3">
        <f>AVERAGE(C59:C60)</f>
        <v>0.24878962286123996</v>
      </c>
      <c r="D61" s="3">
        <f t="shared" ref="D61:L61" si="20">AVERAGE(D59:D60)</f>
        <v>-6.4386712549413305E-2</v>
      </c>
      <c r="E61" s="3">
        <f t="shared" si="20"/>
        <v>0.13325112216561827</v>
      </c>
      <c r="F61" s="3">
        <f t="shared" si="20"/>
        <v>0.38063155668623166</v>
      </c>
      <c r="G61" s="3">
        <f t="shared" si="20"/>
        <v>0.59106002355809628</v>
      </c>
      <c r="H61" s="3">
        <f t="shared" si="20"/>
        <v>6.4123621797702854E-2</v>
      </c>
      <c r="I61" s="3">
        <f t="shared" si="20"/>
        <v>0.25757189430980437</v>
      </c>
      <c r="J61" s="3">
        <f t="shared" si="20"/>
        <v>6.7972011998535253E-3</v>
      </c>
      <c r="K61" s="3">
        <f t="shared" si="20"/>
        <v>0.28186785685473137</v>
      </c>
      <c r="L61" s="3">
        <f t="shared" si="20"/>
        <v>0.69622185439999784</v>
      </c>
      <c r="M61" s="492">
        <f>AVERAGE(C61:L61)</f>
        <v>0.25959280412838626</v>
      </c>
    </row>
  </sheetData>
  <mergeCells count="2">
    <mergeCell ref="A3:F3"/>
    <mergeCell ref="A8:J8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3646BB-B70E-4BD9-85F8-685D94273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305BF2-25A3-451E-AEE6-56DF42BAEA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70D20-47E8-4CE5-87AB-C2831BE1716F}">
  <ds:schemaRefs>
    <ds:schemaRef ds:uri="http://purl.org/dc/dcmitype/"/>
    <ds:schemaRef ds:uri="http://schemas.openxmlformats.org/package/2006/metadata/core-properties"/>
    <ds:schemaRef ds:uri="db382af5-41d1-4468-8b87-e2f8642e227d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6d636ed6-4d22-4f9b-a70c-2b14490759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Input Value</vt:lpstr>
      <vt:lpstr>Utilities</vt:lpstr>
      <vt:lpstr>Loan Amortization</vt:lpstr>
      <vt:lpstr>Market Projection</vt:lpstr>
      <vt:lpstr>Personnel Expenses</vt:lpstr>
      <vt:lpstr>Expense Projection</vt:lpstr>
      <vt:lpstr>Expense Projection per Bale</vt:lpstr>
      <vt:lpstr>Farmer Information</vt:lpstr>
      <vt:lpstr>Operations Summary</vt:lpstr>
      <vt:lpstr>Depreciation</vt:lpstr>
      <vt:lpstr>Efficiency</vt:lpstr>
      <vt:lpstr>Equipment</vt:lpstr>
      <vt:lpstr>Return On Investment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Spradlin, Cassidy D</cp:lastModifiedBy>
  <cp:lastPrinted>2004-12-14T19:32:48Z</cp:lastPrinted>
  <dcterms:created xsi:type="dcterms:W3CDTF">2003-07-24T15:07:28Z</dcterms:created>
  <dcterms:modified xsi:type="dcterms:W3CDTF">2021-03-26T16:20:33Z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