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anmo\Desktop\Publications\"/>
    </mc:Choice>
  </mc:AlternateContent>
  <bookViews>
    <workbookView xWindow="0" yWindow="0" windowWidth="11328" windowHeight="916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Sheet1!$A$2:$J$49</definedName>
  </definedNames>
  <calcPr calcId="162913"/>
</workbook>
</file>

<file path=xl/calcChain.xml><?xml version="1.0" encoding="utf-8"?>
<calcChain xmlns="http://schemas.openxmlformats.org/spreadsheetml/2006/main">
  <c r="I44" i="1" l="1"/>
  <c r="D37" i="1" l="1"/>
  <c r="D43" i="1"/>
  <c r="D42" i="1"/>
  <c r="D41" i="1"/>
  <c r="D40" i="1"/>
  <c r="D38" i="1"/>
  <c r="D36" i="1"/>
  <c r="D35" i="1"/>
  <c r="D34" i="1"/>
  <c r="A24" i="1"/>
  <c r="A30" i="1"/>
  <c r="A29" i="1"/>
  <c r="A25" i="1"/>
  <c r="A20" i="1"/>
  <c r="A19" i="1"/>
  <c r="A15" i="1"/>
  <c r="A14" i="1"/>
  <c r="A13" i="1"/>
  <c r="Q32" i="1" l="1"/>
  <c r="R39" i="1"/>
  <c r="R40" i="1" s="1"/>
  <c r="V26" i="1" s="1"/>
  <c r="Q34" i="1" s="1"/>
  <c r="V29" i="1"/>
  <c r="X29" i="1" s="1"/>
  <c r="V31" i="1" s="1"/>
  <c r="V32" i="1" s="1"/>
  <c r="V33" i="1" s="1"/>
  <c r="V28" i="1"/>
  <c r="X28" i="1" s="1"/>
  <c r="V34" i="1" s="1"/>
  <c r="V35" i="1" s="1"/>
  <c r="Q29" i="1" s="1"/>
  <c r="Q28" i="1" l="1"/>
  <c r="V38" i="1"/>
  <c r="V43" i="1" s="1"/>
  <c r="Z35" i="1"/>
  <c r="V36" i="1" s="1"/>
  <c r="Q30" i="1" s="1"/>
  <c r="V23" i="1"/>
  <c r="Q33" i="1" s="1"/>
  <c r="Q25" i="1" l="1"/>
  <c r="V50" i="1"/>
  <c r="V42" i="1"/>
  <c r="V39" i="1"/>
  <c r="V44" i="1"/>
  <c r="Q27" i="1" s="1"/>
  <c r="V25" i="1"/>
  <c r="V24" i="1"/>
  <c r="Q31" i="1" s="1"/>
  <c r="Q26" i="1" l="1"/>
  <c r="V40" i="1" s="1"/>
  <c r="V41" i="1" s="1"/>
  <c r="V51" i="1"/>
  <c r="Q35" i="1" l="1"/>
  <c r="C49" i="1" s="1"/>
  <c r="E37" i="1"/>
  <c r="E34" i="1"/>
  <c r="E38" i="1"/>
  <c r="E42" i="1"/>
  <c r="E39" i="1"/>
  <c r="E43" i="1"/>
  <c r="E35" i="1"/>
  <c r="E41" i="1"/>
  <c r="E40" i="1"/>
  <c r="V48" i="1"/>
  <c r="V49" i="1"/>
  <c r="H43" i="1" l="1"/>
  <c r="I43" i="1" s="1"/>
  <c r="H39" i="1"/>
  <c r="I39" i="1" s="1"/>
  <c r="H42" i="1"/>
  <c r="I42" i="1" s="1"/>
  <c r="H34" i="1"/>
  <c r="H41" i="1"/>
  <c r="I41" i="1" s="1"/>
  <c r="H40" i="1"/>
  <c r="I40" i="1" s="1"/>
  <c r="H37" i="1"/>
  <c r="I37" i="1" s="1"/>
  <c r="E36" i="1"/>
  <c r="H36" i="1" s="1"/>
  <c r="I36" i="1" s="1"/>
  <c r="H38" i="1"/>
  <c r="I38" i="1" s="1"/>
  <c r="H35" i="1"/>
  <c r="I35" i="1" s="1"/>
  <c r="I34" i="1"/>
  <c r="F42" i="1"/>
  <c r="F37" i="1"/>
  <c r="F40" i="1"/>
  <c r="F35" i="1"/>
  <c r="F38" i="1"/>
  <c r="F39" i="1"/>
  <c r="F41" i="1"/>
  <c r="F43" i="1"/>
  <c r="F34" i="1"/>
  <c r="D9" i="1"/>
  <c r="C9" i="1"/>
  <c r="B9" i="1"/>
  <c r="E45" i="1"/>
  <c r="G42" i="1" s="1"/>
  <c r="V47" i="1"/>
  <c r="V46" i="1"/>
  <c r="H45" i="1" l="1"/>
  <c r="F36" i="1"/>
  <c r="A9" i="1"/>
  <c r="I45" i="1"/>
  <c r="E49" i="1" s="1"/>
  <c r="C52" i="1" s="1"/>
  <c r="I59" i="1" s="1"/>
  <c r="J36" i="1"/>
  <c r="G35" i="1"/>
  <c r="G34" i="1"/>
  <c r="G43" i="1"/>
  <c r="G41" i="1"/>
  <c r="G37" i="1"/>
  <c r="G36" i="1"/>
  <c r="G39" i="1"/>
  <c r="G38" i="1"/>
  <c r="G40" i="1"/>
  <c r="F45" i="1"/>
  <c r="D49" i="1" s="1"/>
  <c r="I61" i="1" l="1"/>
  <c r="E58" i="1"/>
  <c r="F62" i="1"/>
  <c r="E59" i="1"/>
  <c r="L58" i="1"/>
  <c r="G62" i="1"/>
  <c r="G57" i="1"/>
  <c r="I56" i="1"/>
  <c r="I65" i="1" s="1"/>
  <c r="C61" i="1"/>
  <c r="D58" i="1"/>
  <c r="E64" i="1"/>
  <c r="K64" i="1"/>
  <c r="K55" i="1"/>
  <c r="D57" i="1"/>
  <c r="D59" i="1"/>
  <c r="D61" i="1"/>
  <c r="M61" i="1" s="1"/>
  <c r="C62" i="1"/>
  <c r="C57" i="1"/>
  <c r="E55" i="1"/>
  <c r="E60" i="1"/>
  <c r="F57" i="1"/>
  <c r="G63" i="1"/>
  <c r="H60" i="1"/>
  <c r="I62" i="1"/>
  <c r="M62" i="1" s="1"/>
  <c r="L59" i="1"/>
  <c r="D63" i="1"/>
  <c r="J64" i="1"/>
  <c r="L63" i="1"/>
  <c r="F58" i="1"/>
  <c r="C60" i="1"/>
  <c r="I60" i="1"/>
  <c r="K60" i="1"/>
  <c r="H63" i="1"/>
  <c r="G59" i="1"/>
  <c r="I58" i="1"/>
  <c r="I64" i="1"/>
  <c r="L62" i="1"/>
  <c r="F59" i="1"/>
  <c r="L57" i="1"/>
  <c r="H59" i="1"/>
  <c r="K59" i="1"/>
  <c r="H58" i="1"/>
  <c r="C55" i="1"/>
  <c r="D62" i="1"/>
  <c r="K56" i="1"/>
  <c r="F55" i="1"/>
  <c r="G58" i="1"/>
  <c r="K57" i="1"/>
  <c r="K65" i="1" s="1"/>
  <c r="J62" i="1"/>
  <c r="J61" i="1"/>
  <c r="L61" i="1"/>
  <c r="L56" i="1"/>
  <c r="K58" i="1"/>
  <c r="G56" i="1"/>
  <c r="E63" i="1"/>
  <c r="G61" i="1"/>
  <c r="H61" i="1"/>
  <c r="G64" i="1"/>
  <c r="H56" i="1"/>
  <c r="D60" i="1"/>
  <c r="J59" i="1"/>
  <c r="K62" i="1"/>
  <c r="D56" i="1"/>
  <c r="G55" i="1"/>
  <c r="G65" i="1" s="1"/>
  <c r="I57" i="1"/>
  <c r="J63" i="1"/>
  <c r="F61" i="1"/>
  <c r="H64" i="1"/>
  <c r="C58" i="1"/>
  <c r="J56" i="1"/>
  <c r="E61" i="1"/>
  <c r="E56" i="1"/>
  <c r="E65" i="1" s="1"/>
  <c r="J58" i="1"/>
  <c r="F56" i="1"/>
  <c r="J57" i="1"/>
  <c r="I63" i="1"/>
  <c r="L55" i="1"/>
  <c r="J60" i="1"/>
  <c r="F60" i="1"/>
  <c r="M60" i="1" s="1"/>
  <c r="C63" i="1"/>
  <c r="M63" i="1" s="1"/>
  <c r="F63" i="1"/>
  <c r="H57" i="1"/>
  <c r="C56" i="1"/>
  <c r="C65" i="1" s="1"/>
  <c r="E62" i="1"/>
  <c r="H62" i="1"/>
  <c r="L64" i="1"/>
  <c r="L60" i="1"/>
  <c r="J55" i="1"/>
  <c r="J65" i="1" s="1"/>
  <c r="D64" i="1"/>
  <c r="E57" i="1"/>
  <c r="M57" i="1" s="1"/>
  <c r="I55" i="1"/>
  <c r="G60" i="1"/>
  <c r="K61" i="1"/>
  <c r="C64" i="1"/>
  <c r="C59" i="1"/>
  <c r="H55" i="1"/>
  <c r="H65" i="1" s="1"/>
  <c r="K63" i="1"/>
  <c r="D55" i="1"/>
  <c r="D65" i="1" s="1"/>
  <c r="F64" i="1"/>
  <c r="F65" i="1"/>
  <c r="M58" i="1"/>
  <c r="L65" i="1"/>
  <c r="M64" i="1"/>
  <c r="M59" i="1"/>
  <c r="G45" i="1"/>
  <c r="J34" i="1"/>
  <c r="M56" i="1" l="1"/>
  <c r="M55" i="1"/>
  <c r="M65" i="1" s="1"/>
  <c r="J41" i="1"/>
  <c r="J43" i="1"/>
  <c r="J35" i="1"/>
  <c r="J42" i="1"/>
  <c r="J40" i="1"/>
  <c r="J39" i="1"/>
  <c r="J37" i="1"/>
  <c r="J38" i="1"/>
  <c r="J45" i="1" l="1"/>
</calcChain>
</file>

<file path=xl/comments1.xml><?xml version="1.0" encoding="utf-8"?>
<comments xmlns="http://schemas.openxmlformats.org/spreadsheetml/2006/main">
  <authors>
    <author>Parrish, Robert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Parrish, Robert:</t>
        </r>
        <r>
          <rPr>
            <sz val="9"/>
            <color indexed="81"/>
            <rFont val="Tahoma"/>
            <family val="2"/>
          </rPr>
          <t xml:space="preserve">
possible of adding liquid nitrogen
</t>
        </r>
      </text>
    </comment>
  </commentList>
</comments>
</file>

<file path=xl/sharedStrings.xml><?xml version="1.0" encoding="utf-8"?>
<sst xmlns="http://schemas.openxmlformats.org/spreadsheetml/2006/main" count="126" uniqueCount="102">
  <si>
    <t>Recommendation</t>
  </si>
  <si>
    <t>Potassium lbs./Acre</t>
  </si>
  <si>
    <t>Nitrogen comes from</t>
  </si>
  <si>
    <t>1 urea 46-0-0</t>
  </si>
  <si>
    <t>2 Ammonium Sulfate (AMS) 21-0-0</t>
  </si>
  <si>
    <t>3 Ammonium Nitrate 34-0-0</t>
  </si>
  <si>
    <t>Phosphorus comes from</t>
  </si>
  <si>
    <t>1 Diammonium Phosphate (DAP) 18-46-0</t>
  </si>
  <si>
    <t>Potassium comes from</t>
  </si>
  <si>
    <t>Current Cost $/lb.</t>
  </si>
  <si>
    <t xml:space="preserve">2 Sulfate of Potash (SOP) </t>
  </si>
  <si>
    <t xml:space="preserve">Nitrogen     lbs. /Acre </t>
  </si>
  <si>
    <t>Blender size in lbs.</t>
  </si>
  <si>
    <t>Material</t>
  </si>
  <si>
    <t>Urea</t>
  </si>
  <si>
    <t>AMS</t>
  </si>
  <si>
    <t>Ammonium Nitrate</t>
  </si>
  <si>
    <t>Ammonium Sulfate</t>
  </si>
  <si>
    <t>DAP</t>
  </si>
  <si>
    <t>MAP</t>
  </si>
  <si>
    <t>MOP</t>
  </si>
  <si>
    <t>SOP</t>
  </si>
  <si>
    <t>Lbs.</t>
  </si>
  <si>
    <t>Cost of material in mixture</t>
  </si>
  <si>
    <t>AMN</t>
  </si>
  <si>
    <t>Total</t>
  </si>
  <si>
    <t>Application Rate lbs./acre</t>
  </si>
  <si>
    <t>Phosphorus  lbs./Acre</t>
  </si>
  <si>
    <t>P2O5</t>
  </si>
  <si>
    <t>K2O</t>
  </si>
  <si>
    <t>N</t>
  </si>
  <si>
    <t>Actual Formula</t>
  </si>
  <si>
    <t>1 Muriate of Potash (MOP)</t>
  </si>
  <si>
    <t>Farm Acres</t>
  </si>
  <si>
    <t>Calculation of MAP</t>
  </si>
  <si>
    <t xml:space="preserve">2 Monoammonium Phosphate (MAP) 11-52-0 </t>
  </si>
  <si>
    <t>N from MAP</t>
  </si>
  <si>
    <t>Calculation of DAP</t>
  </si>
  <si>
    <t>N from DAP</t>
  </si>
  <si>
    <t>1 if DAP exceeds N requirements</t>
  </si>
  <si>
    <t>New DAP Requirement</t>
  </si>
  <si>
    <t>1 if MAP exceeds N requirements</t>
  </si>
  <si>
    <t>TSP requirement when DAP used</t>
  </si>
  <si>
    <t>New MAP Requirement</t>
  </si>
  <si>
    <t>TSP required if MAP used</t>
  </si>
  <si>
    <t>Calculation of N</t>
  </si>
  <si>
    <t>N from DAP/MAP</t>
  </si>
  <si>
    <t>Amount of material in already in formula</t>
  </si>
  <si>
    <t>amount of material need to make 1 ton</t>
  </si>
  <si>
    <t>Amount of AMS if no urea needed</t>
  </si>
  <si>
    <t>Amount of urea if no AMS used</t>
  </si>
  <si>
    <t>Amount of AMN</t>
  </si>
  <si>
    <t>Urea if AMS is &lt;0</t>
  </si>
  <si>
    <t>AMS if AMS&lt;0</t>
  </si>
  <si>
    <t>calculation for urea if needed with AMS</t>
  </si>
  <si>
    <t>calculation of AMS if urea is needed</t>
  </si>
  <si>
    <t>Amount of urea when no AMS used</t>
  </si>
  <si>
    <t>Amount of AMS when no urea used</t>
  </si>
  <si>
    <t>Amount of N needed from AMS/Urea/AMN</t>
  </si>
  <si>
    <t>TSP</t>
  </si>
  <si>
    <t>Calculation of MOP</t>
  </si>
  <si>
    <t>Calculation of SOP</t>
  </si>
  <si>
    <t>Calculation of SKMG need</t>
  </si>
  <si>
    <t>MgO needs</t>
  </si>
  <si>
    <t>Magnesium comes from</t>
  </si>
  <si>
    <t>1 Sulpomag or KMAG</t>
  </si>
  <si>
    <t>2 Another Material</t>
  </si>
  <si>
    <t>SKMG</t>
  </si>
  <si>
    <t>Magaction</t>
  </si>
  <si>
    <t>Sulpomag</t>
  </si>
  <si>
    <t>Other MG</t>
  </si>
  <si>
    <t>%SKMG</t>
  </si>
  <si>
    <t>%other</t>
  </si>
  <si>
    <t>Calculation of Magaction</t>
  </si>
  <si>
    <t>%MgO if Sulpomag is not used</t>
  </si>
  <si>
    <t>Cost per acre</t>
  </si>
  <si>
    <t>Other cost</t>
  </si>
  <si>
    <t>P still needed if MAP used</t>
  </si>
  <si>
    <t>Current cost $/ton</t>
  </si>
  <si>
    <t>Material Cost $/ton</t>
  </si>
  <si>
    <t>Total lbs. needed for farm</t>
  </si>
  <si>
    <t>% of material in blend</t>
  </si>
  <si>
    <t>Number of blends</t>
  </si>
  <si>
    <t>lbs/acre</t>
  </si>
  <si>
    <t>% of material for total farm</t>
  </si>
  <si>
    <t>Blending Chart</t>
  </si>
  <si>
    <t>Batch         2</t>
  </si>
  <si>
    <t>Batch         3</t>
  </si>
  <si>
    <t>Batch                  4</t>
  </si>
  <si>
    <t>Batch         5</t>
  </si>
  <si>
    <t>Batch         6</t>
  </si>
  <si>
    <t>Batch                  7</t>
  </si>
  <si>
    <t>Batch                  8</t>
  </si>
  <si>
    <t>Batch         9</t>
  </si>
  <si>
    <t>Batch         10</t>
  </si>
  <si>
    <t># of Blends</t>
  </si>
  <si>
    <t>Total Material</t>
  </si>
  <si>
    <t>OSU Fertilizer Blend Calculator</t>
  </si>
  <si>
    <t>For questions or comments contact</t>
  </si>
  <si>
    <t>Phil Kenkel, Bill Fitzwater Cooperative Chair</t>
  </si>
  <si>
    <t>405-744-9818</t>
  </si>
  <si>
    <t>phil.kenkel@okstate.edu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</si>
</sst>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E+00"/>
    <numFmt numFmtId="166" formatCode="_(* #,##0_);_(* \(#,##0\);_(* &quot;-&quot;??_);_(@_)"/>
    <numFmt numFmtId="167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2" fillId="2" borderId="0" xfId="0" applyFont="1" applyFill="1"/>
    <xf numFmtId="0" fontId="2" fillId="3" borderId="1" xfId="0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44" fontId="2" fillId="2" borderId="0" xfId="0" applyNumberFormat="1" applyFont="1" applyFill="1" applyBorder="1"/>
    <xf numFmtId="0" fontId="2" fillId="2" borderId="8" xfId="0" applyFont="1" applyFill="1" applyBorder="1"/>
    <xf numFmtId="44" fontId="2" fillId="2" borderId="11" xfId="0" applyNumberFormat="1" applyFont="1" applyFill="1" applyBorder="1"/>
    <xf numFmtId="0" fontId="2" fillId="2" borderId="1" xfId="0" applyFont="1" applyFill="1" applyBorder="1"/>
    <xf numFmtId="0" fontId="2" fillId="3" borderId="4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44" fontId="2" fillId="3" borderId="1" xfId="1" applyFont="1" applyFill="1" applyBorder="1" applyProtection="1">
      <protection locked="0"/>
    </xf>
    <xf numFmtId="0" fontId="3" fillId="2" borderId="0" xfId="0" applyFont="1" applyFill="1"/>
    <xf numFmtId="44" fontId="2" fillId="2" borderId="1" xfId="0" applyNumberFormat="1" applyFont="1" applyFill="1" applyBorder="1"/>
    <xf numFmtId="44" fontId="2" fillId="3" borderId="12" xfId="1" applyFont="1" applyFill="1" applyBorder="1" applyProtection="1">
      <protection locked="0"/>
    </xf>
    <xf numFmtId="165" fontId="2" fillId="2" borderId="0" xfId="0" applyNumberFormat="1" applyFont="1" applyFill="1"/>
    <xf numFmtId="0" fontId="2" fillId="2" borderId="4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1" fontId="2" fillId="2" borderId="0" xfId="0" applyNumberFormat="1" applyFont="1" applyFill="1" applyBorder="1"/>
    <xf numFmtId="44" fontId="2" fillId="2" borderId="1" xfId="1" applyFont="1" applyFill="1" applyBorder="1" applyProtection="1"/>
    <xf numFmtId="166" fontId="2" fillId="3" borderId="1" xfId="3" applyNumberFormat="1" applyFont="1" applyFill="1" applyBorder="1" applyProtection="1">
      <protection locked="0"/>
    </xf>
    <xf numFmtId="0" fontId="2" fillId="2" borderId="0" xfId="0" applyFont="1" applyFill="1" applyBorder="1"/>
    <xf numFmtId="44" fontId="3" fillId="2" borderId="0" xfId="0" applyNumberFormat="1" applyFont="1" applyFill="1"/>
    <xf numFmtId="166" fontId="3" fillId="2" borderId="0" xfId="3" applyNumberFormat="1" applyFont="1" applyFill="1"/>
    <xf numFmtId="0" fontId="2" fillId="2" borderId="4" xfId="0" applyFont="1" applyFill="1" applyBorder="1"/>
    <xf numFmtId="9" fontId="2" fillId="2" borderId="15" xfId="4" applyFont="1" applyFill="1" applyBorder="1"/>
    <xf numFmtId="3" fontId="2" fillId="2" borderId="15" xfId="0" applyNumberFormat="1" applyFont="1" applyFill="1" applyBorder="1"/>
    <xf numFmtId="164" fontId="2" fillId="2" borderId="0" xfId="0" applyNumberFormat="1" applyFont="1" applyFill="1" applyBorder="1"/>
    <xf numFmtId="0" fontId="3" fillId="2" borderId="0" xfId="0" applyFont="1" applyFill="1" applyBorder="1"/>
    <xf numFmtId="165" fontId="3" fillId="2" borderId="0" xfId="0" applyNumberFormat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166" fontId="2" fillId="2" borderId="11" xfId="3" applyNumberFormat="1" applyFont="1" applyFill="1" applyBorder="1"/>
    <xf numFmtId="166" fontId="2" fillId="2" borderId="4" xfId="3" applyNumberFormat="1" applyFont="1" applyFill="1" applyBorder="1"/>
    <xf numFmtId="9" fontId="2" fillId="2" borderId="3" xfId="4" applyFont="1" applyFill="1" applyBorder="1"/>
    <xf numFmtId="9" fontId="3" fillId="2" borderId="0" xfId="0" applyNumberFormat="1" applyFont="1" applyFill="1"/>
    <xf numFmtId="2" fontId="2" fillId="2" borderId="1" xfId="0" applyNumberFormat="1" applyFont="1" applyFill="1" applyBorder="1"/>
    <xf numFmtId="167" fontId="2" fillId="2" borderId="1" xfId="0" applyNumberFormat="1" applyFont="1" applyFill="1" applyBorder="1"/>
    <xf numFmtId="2" fontId="3" fillId="4" borderId="1" xfId="0" applyNumberFormat="1" applyFont="1" applyFill="1" applyBorder="1"/>
    <xf numFmtId="0" fontId="2" fillId="4" borderId="0" xfId="0" applyFont="1" applyFill="1"/>
    <xf numFmtId="43" fontId="2" fillId="4" borderId="3" xfId="3" applyNumberFormat="1" applyFont="1" applyFill="1" applyBorder="1"/>
    <xf numFmtId="43" fontId="2" fillId="4" borderId="9" xfId="3" applyNumberFormat="1" applyFont="1" applyFill="1" applyBorder="1"/>
    <xf numFmtId="43" fontId="2" fillId="4" borderId="11" xfId="3" applyNumberFormat="1" applyFont="1" applyFill="1" applyBorder="1"/>
    <xf numFmtId="166" fontId="3" fillId="4" borderId="3" xfId="3" applyNumberFormat="1" applyFont="1" applyFill="1" applyBorder="1"/>
    <xf numFmtId="43" fontId="2" fillId="4" borderId="15" xfId="3" applyNumberFormat="1" applyFont="1" applyFill="1" applyBorder="1"/>
    <xf numFmtId="166" fontId="3" fillId="4" borderId="15" xfId="3" applyNumberFormat="1" applyFont="1" applyFill="1" applyBorder="1"/>
    <xf numFmtId="43" fontId="2" fillId="4" borderId="4" xfId="3" applyNumberFormat="1" applyFont="1" applyFill="1" applyBorder="1"/>
    <xf numFmtId="43" fontId="2" fillId="4" borderId="12" xfId="3" applyNumberFormat="1" applyFont="1" applyFill="1" applyBorder="1"/>
    <xf numFmtId="166" fontId="3" fillId="4" borderId="4" xfId="3" applyNumberFormat="1" applyFont="1" applyFill="1" applyBorder="1"/>
    <xf numFmtId="166" fontId="3" fillId="4" borderId="0" xfId="3" applyNumberFormat="1" applyFont="1" applyFill="1"/>
    <xf numFmtId="43" fontId="2" fillId="2" borderId="0" xfId="0" applyNumberFormat="1" applyFont="1" applyFill="1"/>
    <xf numFmtId="0" fontId="7" fillId="2" borderId="0" xfId="5" applyFill="1" applyAlignment="1" applyProtection="1"/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wrapText="1"/>
    </xf>
  </cellXfs>
  <cellStyles count="6">
    <cellStyle name="Comma" xfId="3" builtinId="3"/>
    <cellStyle name="Currency" xfId="1" builtinId="4"/>
    <cellStyle name="Hyperlink" xfId="5" builtinId="8"/>
    <cellStyle name="Normal" xfId="0" builtinId="0"/>
    <cellStyle name="Normal 2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hil.kenkel@okstate.ed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5"/>
  <sheetViews>
    <sheetView tabSelected="1" zoomScaleNormal="100" workbookViewId="0">
      <selection activeCell="H6" sqref="H6"/>
    </sheetView>
  </sheetViews>
  <sheetFormatPr defaultColWidth="9.109375" defaultRowHeight="15.6" x14ac:dyDescent="0.3"/>
  <cols>
    <col min="1" max="1" width="12.44140625" style="1" customWidth="1"/>
    <col min="2" max="2" width="12" style="1" customWidth="1"/>
    <col min="3" max="3" width="11.44140625" style="1" bestFit="1" customWidth="1"/>
    <col min="4" max="4" width="11.5546875" style="1" bestFit="1" customWidth="1"/>
    <col min="5" max="5" width="10.5546875" style="1" customWidth="1"/>
    <col min="6" max="6" width="16.109375" style="1" customWidth="1"/>
    <col min="7" max="7" width="11.44140625" style="1" customWidth="1"/>
    <col min="8" max="8" width="10.44140625" style="1" bestFit="1" customWidth="1"/>
    <col min="9" max="9" width="16.33203125" style="1" customWidth="1"/>
    <col min="10" max="10" width="14" style="1" bestFit="1" customWidth="1"/>
    <col min="11" max="11" width="10.109375" style="1" bestFit="1" customWidth="1"/>
    <col min="12" max="12" width="10.44140625" style="1" customWidth="1"/>
    <col min="13" max="13" width="9.109375" style="1" customWidth="1"/>
    <col min="14" max="15" width="9.109375" style="1"/>
    <col min="16" max="29" width="0" style="1" hidden="1" customWidth="1"/>
    <col min="30" max="16384" width="9.109375" style="1"/>
  </cols>
  <sheetData>
    <row r="1" spans="1:8" x14ac:dyDescent="0.3">
      <c r="B1" s="1" t="s">
        <v>97</v>
      </c>
    </row>
    <row r="2" spans="1:8" x14ac:dyDescent="0.3">
      <c r="A2" s="4" t="s">
        <v>30</v>
      </c>
      <c r="B2" s="4" t="s">
        <v>28</v>
      </c>
      <c r="C2" s="4" t="s">
        <v>29</v>
      </c>
      <c r="H2" s="1" t="s">
        <v>98</v>
      </c>
    </row>
    <row r="3" spans="1:8" x14ac:dyDescent="0.3">
      <c r="A3" s="85" t="s">
        <v>0</v>
      </c>
      <c r="B3" s="86"/>
      <c r="C3" s="87"/>
      <c r="H3" s="1" t="s">
        <v>99</v>
      </c>
    </row>
    <row r="4" spans="1:8" ht="15" customHeight="1" x14ac:dyDescent="0.3">
      <c r="A4" s="63" t="s">
        <v>11</v>
      </c>
      <c r="B4" s="63" t="s">
        <v>27</v>
      </c>
      <c r="C4" s="63" t="s">
        <v>1</v>
      </c>
      <c r="D4" s="63" t="s">
        <v>63</v>
      </c>
      <c r="E4" s="63" t="s">
        <v>12</v>
      </c>
      <c r="F4" s="63" t="s">
        <v>33</v>
      </c>
      <c r="H4" s="1" t="s">
        <v>100</v>
      </c>
    </row>
    <row r="5" spans="1:8" x14ac:dyDescent="0.3">
      <c r="A5" s="64"/>
      <c r="B5" s="64"/>
      <c r="C5" s="64"/>
      <c r="D5" s="64"/>
      <c r="E5" s="64"/>
      <c r="F5" s="64"/>
      <c r="H5" s="60" t="s">
        <v>101</v>
      </c>
    </row>
    <row r="6" spans="1:8" x14ac:dyDescent="0.3">
      <c r="A6" s="17">
        <v>75</v>
      </c>
      <c r="B6" s="18">
        <v>55</v>
      </c>
      <c r="C6" s="18">
        <v>10</v>
      </c>
      <c r="D6" s="2">
        <v>0</v>
      </c>
      <c r="E6" s="28">
        <v>15000</v>
      </c>
      <c r="F6" s="18">
        <v>160</v>
      </c>
    </row>
    <row r="7" spans="1:8" x14ac:dyDescent="0.3">
      <c r="A7" s="88" t="s">
        <v>74</v>
      </c>
      <c r="B7" s="88"/>
      <c r="C7" s="89"/>
      <c r="D7" s="2">
        <v>90</v>
      </c>
    </row>
    <row r="8" spans="1:8" x14ac:dyDescent="0.3">
      <c r="A8" s="84" t="s">
        <v>31</v>
      </c>
      <c r="B8" s="84"/>
      <c r="C8" s="84"/>
      <c r="D8" s="84"/>
    </row>
    <row r="9" spans="1:8" x14ac:dyDescent="0.3">
      <c r="A9" s="25">
        <f>(E34*0.46+E35*0.21+E37*0.18+E36*0.34+E38*0.11)/20</f>
        <v>25.551844321812375</v>
      </c>
      <c r="B9" s="24">
        <f>(E37*0.46+E39*0.46+E38*0.52)/20</f>
        <v>18.738019169329075</v>
      </c>
      <c r="C9" s="24">
        <f>(E40*0.6+E41*0.5+E42*0.22)/20</f>
        <v>3.4069125762416506</v>
      </c>
      <c r="D9" s="16">
        <f>(E42*0.18+E43*D7/100)/20</f>
        <v>0</v>
      </c>
    </row>
    <row r="10" spans="1:8" ht="15.75" customHeight="1" x14ac:dyDescent="0.3">
      <c r="A10" s="3"/>
    </row>
    <row r="11" spans="1:8" x14ac:dyDescent="0.3">
      <c r="A11" s="63" t="s">
        <v>9</v>
      </c>
      <c r="B11" s="66" t="s">
        <v>2</v>
      </c>
      <c r="C11" s="66"/>
      <c r="D11" s="66"/>
      <c r="E11" s="67"/>
      <c r="F11" s="80" t="s">
        <v>78</v>
      </c>
    </row>
    <row r="12" spans="1:8" x14ac:dyDescent="0.3">
      <c r="A12" s="64"/>
      <c r="B12" s="4"/>
      <c r="C12" s="4"/>
      <c r="D12" s="4"/>
      <c r="E12" s="5"/>
      <c r="F12" s="80"/>
    </row>
    <row r="13" spans="1:8" x14ac:dyDescent="0.3">
      <c r="A13" s="27">
        <f>F13/2000</f>
        <v>0.21249999999999999</v>
      </c>
      <c r="B13" s="68" t="s">
        <v>3</v>
      </c>
      <c r="C13" s="69"/>
      <c r="D13" s="69"/>
      <c r="E13" s="17">
        <v>3</v>
      </c>
      <c r="F13" s="19">
        <v>425</v>
      </c>
    </row>
    <row r="14" spans="1:8" x14ac:dyDescent="0.3">
      <c r="A14" s="27">
        <f>F14/2000</f>
        <v>0.31</v>
      </c>
      <c r="B14" s="68" t="s">
        <v>4</v>
      </c>
      <c r="C14" s="69"/>
      <c r="D14" s="69"/>
      <c r="E14" s="6"/>
      <c r="F14" s="19">
        <v>620</v>
      </c>
    </row>
    <row r="15" spans="1:8" x14ac:dyDescent="0.3">
      <c r="A15" s="27">
        <f>F15/2000</f>
        <v>0.309</v>
      </c>
      <c r="B15" s="70" t="s">
        <v>5</v>
      </c>
      <c r="C15" s="71"/>
      <c r="D15" s="71"/>
      <c r="E15" s="7"/>
      <c r="F15" s="19">
        <v>618</v>
      </c>
    </row>
    <row r="17" spans="1:29" x14ac:dyDescent="0.3">
      <c r="A17" s="63" t="s">
        <v>9</v>
      </c>
      <c r="B17" s="65" t="s">
        <v>6</v>
      </c>
      <c r="C17" s="66"/>
      <c r="D17" s="66"/>
      <c r="E17" s="67"/>
      <c r="F17" s="80" t="s">
        <v>78</v>
      </c>
    </row>
    <row r="18" spans="1:29" x14ac:dyDescent="0.3">
      <c r="A18" s="64"/>
      <c r="B18" s="68"/>
      <c r="C18" s="69"/>
      <c r="D18" s="69"/>
      <c r="E18" s="17">
        <v>1</v>
      </c>
      <c r="F18" s="80"/>
    </row>
    <row r="19" spans="1:29" x14ac:dyDescent="0.3">
      <c r="A19" s="27">
        <f>F19/2000</f>
        <v>0.23</v>
      </c>
      <c r="B19" s="8" t="s">
        <v>7</v>
      </c>
      <c r="C19" s="9"/>
      <c r="D19" s="9"/>
      <c r="E19" s="10"/>
      <c r="F19" s="19">
        <v>460</v>
      </c>
    </row>
    <row r="20" spans="1:29" x14ac:dyDescent="0.3">
      <c r="A20" s="27">
        <f>F20/2000</f>
        <v>0.24</v>
      </c>
      <c r="B20" s="70" t="s">
        <v>35</v>
      </c>
      <c r="C20" s="71"/>
      <c r="D20" s="71"/>
      <c r="E20" s="79"/>
      <c r="F20" s="19">
        <v>480</v>
      </c>
    </row>
    <row r="21" spans="1:29" ht="15" customHeight="1" x14ac:dyDescent="0.3">
      <c r="A21" s="3"/>
    </row>
    <row r="22" spans="1:29" x14ac:dyDescent="0.3">
      <c r="A22" s="63" t="s">
        <v>9</v>
      </c>
      <c r="B22" s="65" t="s">
        <v>8</v>
      </c>
      <c r="C22" s="66"/>
      <c r="D22" s="66"/>
      <c r="E22" s="67"/>
      <c r="F22" s="80" t="s">
        <v>78</v>
      </c>
    </row>
    <row r="23" spans="1:29" ht="15" customHeight="1" x14ac:dyDescent="0.3">
      <c r="A23" s="64"/>
      <c r="E23" s="17">
        <v>1</v>
      </c>
      <c r="F23" s="80"/>
      <c r="S23" s="1" t="s">
        <v>62</v>
      </c>
      <c r="V23" s="1">
        <f>10*D6*R39/100/0.18</f>
        <v>0</v>
      </c>
    </row>
    <row r="24" spans="1:29" x14ac:dyDescent="0.3">
      <c r="A24" s="27">
        <f>F24/2000</f>
        <v>0.23</v>
      </c>
      <c r="B24" s="68" t="s">
        <v>32</v>
      </c>
      <c r="C24" s="69"/>
      <c r="D24" s="69"/>
      <c r="E24" s="6"/>
      <c r="F24" s="19">
        <v>460</v>
      </c>
      <c r="T24" s="1" t="s">
        <v>60</v>
      </c>
      <c r="V24" s="1">
        <f>10*(C6-V23*0.022)/0.6</f>
        <v>166.66666666666669</v>
      </c>
    </row>
    <row r="25" spans="1:29" x14ac:dyDescent="0.3">
      <c r="A25" s="27">
        <f>F25/2000</f>
        <v>0.215</v>
      </c>
      <c r="B25" s="11" t="s">
        <v>10</v>
      </c>
      <c r="C25" s="12"/>
      <c r="D25" s="12"/>
      <c r="E25" s="7"/>
      <c r="F25" s="19">
        <v>430</v>
      </c>
      <c r="P25" s="1" t="s">
        <v>14</v>
      </c>
      <c r="Q25" s="23">
        <f>IF(E13=1,V43,0)</f>
        <v>0</v>
      </c>
      <c r="T25" s="1" t="s">
        <v>61</v>
      </c>
      <c r="V25" s="1">
        <f>10*(C6-V23*0.022)/0.5</f>
        <v>200</v>
      </c>
    </row>
    <row r="26" spans="1:29" x14ac:dyDescent="0.3">
      <c r="P26" s="1" t="s">
        <v>15</v>
      </c>
      <c r="Q26" s="1">
        <f>IF(E13=2,V42,0)</f>
        <v>0</v>
      </c>
      <c r="S26" s="1" t="s">
        <v>73</v>
      </c>
      <c r="V26" s="1">
        <f>10*D6*R40/100/D7*100</f>
        <v>0</v>
      </c>
    </row>
    <row r="27" spans="1:29" ht="15.75" customHeight="1" x14ac:dyDescent="0.3">
      <c r="A27" s="63" t="s">
        <v>9</v>
      </c>
      <c r="B27" s="65" t="s">
        <v>64</v>
      </c>
      <c r="C27" s="66"/>
      <c r="D27" s="66"/>
      <c r="E27" s="67"/>
      <c r="F27" s="80" t="s">
        <v>78</v>
      </c>
      <c r="P27" s="1" t="s">
        <v>24</v>
      </c>
      <c r="Q27" s="1">
        <f>IF(E13=3,V44,0)</f>
        <v>1572.8900255754477</v>
      </c>
    </row>
    <row r="28" spans="1:29" x14ac:dyDescent="0.3">
      <c r="A28" s="64"/>
      <c r="E28" s="17">
        <v>1</v>
      </c>
      <c r="F28" s="80"/>
      <c r="P28" s="1" t="s">
        <v>18</v>
      </c>
      <c r="Q28" s="1">
        <f>IF(E18=1,V32,0)</f>
        <v>1195.6521739130435</v>
      </c>
      <c r="T28" s="39" t="s">
        <v>34</v>
      </c>
      <c r="U28" s="39"/>
      <c r="V28" s="1">
        <f>10*B6/0.52</f>
        <v>1057.6923076923076</v>
      </c>
      <c r="W28" s="1" t="s">
        <v>36</v>
      </c>
      <c r="X28" s="1">
        <f>V28*0.11</f>
        <v>116.34615384615384</v>
      </c>
    </row>
    <row r="29" spans="1:29" x14ac:dyDescent="0.3">
      <c r="A29" s="27">
        <f>F29/2000</f>
        <v>0.63</v>
      </c>
      <c r="B29" s="68" t="s">
        <v>65</v>
      </c>
      <c r="C29" s="69"/>
      <c r="D29" s="69"/>
      <c r="E29" s="6"/>
      <c r="F29" s="19">
        <v>1260</v>
      </c>
      <c r="P29" s="29" t="s">
        <v>19</v>
      </c>
      <c r="Q29" s="29">
        <f>IF(E18=2,V35,0)</f>
        <v>0</v>
      </c>
      <c r="R29" s="29"/>
      <c r="S29" s="29"/>
      <c r="T29" s="40" t="s">
        <v>37</v>
      </c>
      <c r="U29" s="40"/>
      <c r="V29" s="29">
        <f>10*B6/0.46</f>
        <v>1195.6521739130435</v>
      </c>
      <c r="W29" s="29" t="s">
        <v>38</v>
      </c>
      <c r="X29" s="29">
        <f>V29*0.18</f>
        <v>215.21739130434781</v>
      </c>
      <c r="Y29" s="29"/>
      <c r="Z29" s="29"/>
      <c r="AA29" s="29"/>
      <c r="AB29" s="29"/>
      <c r="AC29" s="29"/>
    </row>
    <row r="30" spans="1:29" x14ac:dyDescent="0.3">
      <c r="A30" s="27">
        <f>F30/2000</f>
        <v>0.57499999999999996</v>
      </c>
      <c r="B30" s="70" t="s">
        <v>66</v>
      </c>
      <c r="C30" s="71"/>
      <c r="D30" s="71"/>
      <c r="E30" s="7"/>
      <c r="F30" s="19">
        <v>1150</v>
      </c>
      <c r="P30" s="29" t="s">
        <v>59</v>
      </c>
      <c r="Q30" s="29">
        <f>IF(E18=1,V33,V36)</f>
        <v>0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3">
      <c r="P31" s="29" t="s">
        <v>20</v>
      </c>
      <c r="Q31" s="29">
        <f>IF(E23=2,0,V24)</f>
        <v>166.66666666666669</v>
      </c>
      <c r="R31" s="29"/>
      <c r="S31" s="29"/>
      <c r="T31" s="29"/>
      <c r="U31" s="29"/>
      <c r="V31" s="29">
        <f>IF(X29/10&gt;A6,1,2)</f>
        <v>2</v>
      </c>
      <c r="W31" s="29" t="s">
        <v>39</v>
      </c>
      <c r="X31" s="29"/>
      <c r="Y31" s="29"/>
      <c r="Z31" s="29"/>
      <c r="AA31" s="29"/>
      <c r="AB31" s="29"/>
      <c r="AC31" s="29"/>
    </row>
    <row r="32" spans="1:29" x14ac:dyDescent="0.3">
      <c r="B32" s="72" t="s">
        <v>13</v>
      </c>
      <c r="C32" s="73"/>
      <c r="D32" s="77" t="s">
        <v>79</v>
      </c>
      <c r="E32" s="77" t="s">
        <v>22</v>
      </c>
      <c r="F32" s="92" t="s">
        <v>23</v>
      </c>
      <c r="G32" s="90" t="s">
        <v>81</v>
      </c>
      <c r="H32" s="90" t="s">
        <v>83</v>
      </c>
      <c r="I32" s="90" t="s">
        <v>80</v>
      </c>
      <c r="J32" s="90" t="s">
        <v>84</v>
      </c>
      <c r="P32" s="29" t="s">
        <v>21</v>
      </c>
      <c r="Q32" s="29">
        <f>IF(E23=2,V25,0)</f>
        <v>0</v>
      </c>
      <c r="R32" s="29"/>
      <c r="S32" s="29"/>
      <c r="T32" s="29"/>
      <c r="U32" s="29"/>
      <c r="V32" s="29">
        <f>IF(V31=1,10*A6/0.18,V29)</f>
        <v>1195.6521739130435</v>
      </c>
      <c r="W32" s="29" t="s">
        <v>40</v>
      </c>
      <c r="X32" s="29"/>
      <c r="Y32" s="29"/>
      <c r="Z32" s="29"/>
      <c r="AA32" s="29"/>
      <c r="AB32" s="29"/>
      <c r="AC32" s="29"/>
    </row>
    <row r="33" spans="2:29" x14ac:dyDescent="0.3">
      <c r="B33" s="74"/>
      <c r="C33" s="75"/>
      <c r="D33" s="78"/>
      <c r="E33" s="78"/>
      <c r="F33" s="93"/>
      <c r="G33" s="91"/>
      <c r="H33" s="91"/>
      <c r="I33" s="91"/>
      <c r="J33" s="91"/>
      <c r="P33" s="29" t="s">
        <v>67</v>
      </c>
      <c r="Q33" s="29">
        <f>V23</f>
        <v>0</v>
      </c>
      <c r="R33" s="29"/>
      <c r="S33" s="29"/>
      <c r="T33" s="29"/>
      <c r="U33" s="29"/>
      <c r="V33" s="29">
        <f>(10*B6/0.46)-V32</f>
        <v>0</v>
      </c>
      <c r="W33" s="29" t="s">
        <v>42</v>
      </c>
      <c r="X33" s="29"/>
      <c r="Y33" s="29"/>
      <c r="Z33" s="29"/>
      <c r="AA33" s="29"/>
      <c r="AB33" s="29"/>
      <c r="AC33" s="29"/>
    </row>
    <row r="34" spans="2:29" x14ac:dyDescent="0.3">
      <c r="B34" s="61" t="s">
        <v>14</v>
      </c>
      <c r="C34" s="62"/>
      <c r="D34" s="13">
        <f>F13</f>
        <v>425</v>
      </c>
      <c r="E34" s="26">
        <f t="shared" ref="E34:E43" si="0">Q25*2000/$Q$35</f>
        <v>0</v>
      </c>
      <c r="F34" s="15">
        <f>(D34/2000)*E34</f>
        <v>0</v>
      </c>
      <c r="G34" s="33">
        <f>E34/$E$45</f>
        <v>0</v>
      </c>
      <c r="H34" s="34">
        <f>E34*$C$49/2000</f>
        <v>0</v>
      </c>
      <c r="I34" s="41">
        <f>H34*$F$6</f>
        <v>0</v>
      </c>
      <c r="J34" s="43">
        <f>I34/$I$45</f>
        <v>0</v>
      </c>
      <c r="P34" s="29" t="s">
        <v>68</v>
      </c>
      <c r="Q34" s="29">
        <f>V26</f>
        <v>0</v>
      </c>
      <c r="R34" s="29"/>
      <c r="S34" s="29"/>
      <c r="T34" s="29"/>
      <c r="U34" s="29"/>
      <c r="V34" s="29">
        <f>IF(X28/10&gt;A6,1,2)</f>
        <v>2</v>
      </c>
      <c r="W34" s="29" t="s">
        <v>41</v>
      </c>
      <c r="X34" s="29"/>
      <c r="Y34" s="29"/>
      <c r="Z34" s="29"/>
      <c r="AA34" s="29"/>
      <c r="AB34" s="29"/>
      <c r="AC34" s="29"/>
    </row>
    <row r="35" spans="2:29" x14ac:dyDescent="0.3">
      <c r="B35" s="61" t="s">
        <v>17</v>
      </c>
      <c r="C35" s="62"/>
      <c r="D35" s="13">
        <f>F14</f>
        <v>620</v>
      </c>
      <c r="E35" s="26">
        <f t="shared" si="0"/>
        <v>0</v>
      </c>
      <c r="F35" s="15">
        <f t="shared" ref="F35:F43" si="1">(D35/2000)*E35</f>
        <v>0</v>
      </c>
      <c r="G35" s="33">
        <f t="shared" ref="G35:G43" si="2">E35/$E$45</f>
        <v>0</v>
      </c>
      <c r="H35" s="34">
        <f t="shared" ref="H35:H43" si="3">E35*$C$49/2000</f>
        <v>0</v>
      </c>
      <c r="I35" s="41">
        <f t="shared" ref="I35:I44" si="4">H35*$F$6</f>
        <v>0</v>
      </c>
      <c r="J35" s="33">
        <f t="shared" ref="J35:J43" si="5">I35/$I$45</f>
        <v>0</v>
      </c>
      <c r="P35" s="29" t="s">
        <v>25</v>
      </c>
      <c r="Q35" s="29">
        <f>SUM(Q25:Q34)</f>
        <v>2935.2088661551575</v>
      </c>
      <c r="R35" s="29"/>
      <c r="S35" s="29"/>
      <c r="T35" s="29"/>
      <c r="U35" s="29"/>
      <c r="V35" s="29">
        <f>IF(V34=1,10*A6/0.11,V28)</f>
        <v>1057.6923076923076</v>
      </c>
      <c r="W35" s="29" t="s">
        <v>43</v>
      </c>
      <c r="X35" s="29"/>
      <c r="Y35" s="29"/>
      <c r="Z35" s="29">
        <f>B6-V35*0.052</f>
        <v>0</v>
      </c>
      <c r="AA35" s="29" t="s">
        <v>77</v>
      </c>
      <c r="AB35" s="29"/>
      <c r="AC35" s="29"/>
    </row>
    <row r="36" spans="2:29" x14ac:dyDescent="0.3">
      <c r="B36" s="61" t="s">
        <v>16</v>
      </c>
      <c r="C36" s="62"/>
      <c r="D36" s="13">
        <f>F15</f>
        <v>618</v>
      </c>
      <c r="E36" s="26">
        <f t="shared" si="0"/>
        <v>1071.7397618356085</v>
      </c>
      <c r="F36" s="15">
        <f t="shared" si="1"/>
        <v>331.16758640720303</v>
      </c>
      <c r="G36" s="33">
        <f t="shared" si="2"/>
        <v>0.53586988091780419</v>
      </c>
      <c r="H36" s="34">
        <f t="shared" si="3"/>
        <v>157.28900255754473</v>
      </c>
      <c r="I36" s="41">
        <f t="shared" si="4"/>
        <v>25166.240409207159</v>
      </c>
      <c r="J36" s="33">
        <f>I36/$I$45</f>
        <v>0.5358698809178043</v>
      </c>
      <c r="P36" s="29"/>
      <c r="Q36" s="29"/>
      <c r="R36" s="29"/>
      <c r="S36" s="29"/>
      <c r="T36" s="29" t="s">
        <v>45</v>
      </c>
      <c r="U36" s="29"/>
      <c r="V36" s="29">
        <f>Z35/0.046</f>
        <v>0</v>
      </c>
      <c r="W36" s="29" t="s">
        <v>44</v>
      </c>
      <c r="X36" s="29"/>
      <c r="Y36" s="29"/>
      <c r="Z36" s="29"/>
      <c r="AA36" s="29"/>
      <c r="AB36" s="29"/>
      <c r="AC36" s="29"/>
    </row>
    <row r="37" spans="2:29" ht="15.75" customHeight="1" x14ac:dyDescent="0.3">
      <c r="B37" s="61" t="s">
        <v>18</v>
      </c>
      <c r="C37" s="62"/>
      <c r="D37" s="13">
        <f>F19</f>
        <v>460</v>
      </c>
      <c r="E37" s="26">
        <f t="shared" si="0"/>
        <v>814.69648562300324</v>
      </c>
      <c r="F37" s="15">
        <f t="shared" si="1"/>
        <v>187.38019169329075</v>
      </c>
      <c r="G37" s="33">
        <f t="shared" si="2"/>
        <v>0.40734824281150156</v>
      </c>
      <c r="H37" s="34">
        <f t="shared" si="3"/>
        <v>119.56521739130434</v>
      </c>
      <c r="I37" s="41">
        <f t="shared" si="4"/>
        <v>19130.434782608696</v>
      </c>
      <c r="J37" s="33">
        <f t="shared" si="5"/>
        <v>0.40734824281150162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2:29" x14ac:dyDescent="0.3">
      <c r="B38" s="61" t="s">
        <v>19</v>
      </c>
      <c r="C38" s="62"/>
      <c r="D38" s="13">
        <f>F20</f>
        <v>480</v>
      </c>
      <c r="E38" s="26">
        <f t="shared" si="0"/>
        <v>0</v>
      </c>
      <c r="F38" s="15">
        <f t="shared" si="1"/>
        <v>0</v>
      </c>
      <c r="G38" s="33">
        <f t="shared" si="2"/>
        <v>0</v>
      </c>
      <c r="H38" s="34">
        <f t="shared" si="3"/>
        <v>0</v>
      </c>
      <c r="I38" s="41">
        <f t="shared" si="4"/>
        <v>0</v>
      </c>
      <c r="J38" s="33">
        <f t="shared" si="5"/>
        <v>0</v>
      </c>
      <c r="P38" s="29"/>
      <c r="Q38" s="29"/>
      <c r="R38" s="29"/>
      <c r="S38" s="29"/>
      <c r="T38" s="29"/>
      <c r="U38" s="29"/>
      <c r="V38" s="29">
        <f>IF(E18=1,V32*0.018,V35*0.011)</f>
        <v>21.521739130434781</v>
      </c>
      <c r="W38" s="29" t="s">
        <v>46</v>
      </c>
      <c r="X38" s="29"/>
      <c r="Y38" s="29"/>
      <c r="Z38" s="29"/>
      <c r="AA38" s="29"/>
      <c r="AB38" s="29"/>
      <c r="AC38" s="29"/>
    </row>
    <row r="39" spans="2:29" x14ac:dyDescent="0.3">
      <c r="B39" s="61" t="s">
        <v>59</v>
      </c>
      <c r="C39" s="62"/>
      <c r="D39" s="19">
        <v>475</v>
      </c>
      <c r="E39" s="26">
        <f t="shared" si="0"/>
        <v>0</v>
      </c>
      <c r="F39" s="15">
        <f t="shared" si="1"/>
        <v>0</v>
      </c>
      <c r="G39" s="33">
        <f t="shared" si="2"/>
        <v>0</v>
      </c>
      <c r="H39" s="34">
        <f t="shared" si="3"/>
        <v>0</v>
      </c>
      <c r="I39" s="41">
        <f t="shared" si="4"/>
        <v>0</v>
      </c>
      <c r="J39" s="33">
        <f t="shared" si="5"/>
        <v>0</v>
      </c>
      <c r="P39" s="29"/>
      <c r="Q39" s="29"/>
      <c r="R39" s="29">
        <f>IF(E28=1,100,0)</f>
        <v>100</v>
      </c>
      <c r="S39" s="29" t="s">
        <v>71</v>
      </c>
      <c r="T39" s="29"/>
      <c r="U39" s="29"/>
      <c r="V39" s="29">
        <f>A6-V38</f>
        <v>53.478260869565219</v>
      </c>
      <c r="W39" s="29" t="s">
        <v>58</v>
      </c>
      <c r="X39" s="29"/>
      <c r="Y39" s="29"/>
      <c r="Z39" s="29"/>
      <c r="AA39" s="29"/>
      <c r="AB39" s="29"/>
      <c r="AC39" s="29"/>
    </row>
    <row r="40" spans="2:29" x14ac:dyDescent="0.3">
      <c r="B40" s="61" t="s">
        <v>20</v>
      </c>
      <c r="C40" s="62"/>
      <c r="D40" s="13">
        <f>F24</f>
        <v>460</v>
      </c>
      <c r="E40" s="26">
        <f t="shared" si="0"/>
        <v>113.56375254138835</v>
      </c>
      <c r="F40" s="15">
        <f t="shared" si="1"/>
        <v>26.119663084519324</v>
      </c>
      <c r="G40" s="33">
        <f t="shared" si="2"/>
        <v>5.678187627069417E-2</v>
      </c>
      <c r="H40" s="34">
        <f t="shared" si="3"/>
        <v>16.666666666666668</v>
      </c>
      <c r="I40" s="41">
        <f t="shared" si="4"/>
        <v>2666.666666666667</v>
      </c>
      <c r="J40" s="33">
        <f t="shared" si="5"/>
        <v>5.678187627069417E-2</v>
      </c>
      <c r="P40" s="29"/>
      <c r="Q40" s="29"/>
      <c r="R40" s="29">
        <f>100-R39</f>
        <v>0</v>
      </c>
      <c r="S40" s="29" t="s">
        <v>72</v>
      </c>
      <c r="T40" s="29"/>
      <c r="U40" s="29"/>
      <c r="V40" s="38">
        <f>SUM(Q25:Q34)</f>
        <v>2935.2088661551575</v>
      </c>
      <c r="W40" s="29" t="s">
        <v>47</v>
      </c>
      <c r="X40" s="29"/>
      <c r="Y40" s="29"/>
      <c r="Z40" s="29"/>
      <c r="AA40" s="29"/>
      <c r="AB40" s="29"/>
      <c r="AC40" s="29"/>
    </row>
    <row r="41" spans="2:29" x14ac:dyDescent="0.3">
      <c r="B41" s="61" t="s">
        <v>21</v>
      </c>
      <c r="C41" s="62"/>
      <c r="D41" s="13">
        <f>F25</f>
        <v>430</v>
      </c>
      <c r="E41" s="26">
        <f t="shared" si="0"/>
        <v>0</v>
      </c>
      <c r="F41" s="15">
        <f t="shared" si="1"/>
        <v>0</v>
      </c>
      <c r="G41" s="33">
        <f t="shared" si="2"/>
        <v>0</v>
      </c>
      <c r="H41" s="34">
        <f t="shared" si="3"/>
        <v>0</v>
      </c>
      <c r="I41" s="41">
        <f t="shared" si="4"/>
        <v>0</v>
      </c>
      <c r="J41" s="33">
        <f t="shared" si="5"/>
        <v>0</v>
      </c>
      <c r="P41" s="29"/>
      <c r="Q41" s="29"/>
      <c r="R41" s="29"/>
      <c r="S41" s="29"/>
      <c r="T41" s="29"/>
      <c r="U41" s="29"/>
      <c r="V41" s="29">
        <f>2000-V40</f>
        <v>-935.20886615515747</v>
      </c>
      <c r="W41" s="29" t="s">
        <v>48</v>
      </c>
      <c r="X41" s="29"/>
      <c r="Y41" s="29"/>
      <c r="Z41" s="29"/>
      <c r="AA41" s="29"/>
      <c r="AB41" s="29"/>
      <c r="AC41" s="29"/>
    </row>
    <row r="42" spans="2:29" x14ac:dyDescent="0.3">
      <c r="B42" s="61" t="s">
        <v>69</v>
      </c>
      <c r="C42" s="62"/>
      <c r="D42" s="13">
        <f>F29</f>
        <v>1260</v>
      </c>
      <c r="E42" s="26">
        <f t="shared" si="0"/>
        <v>0</v>
      </c>
      <c r="F42" s="15">
        <f t="shared" si="1"/>
        <v>0</v>
      </c>
      <c r="G42" s="33">
        <f t="shared" si="2"/>
        <v>0</v>
      </c>
      <c r="H42" s="34">
        <f t="shared" si="3"/>
        <v>0</v>
      </c>
      <c r="I42" s="41">
        <f t="shared" si="4"/>
        <v>0</v>
      </c>
      <c r="J42" s="33">
        <f t="shared" si="5"/>
        <v>0</v>
      </c>
      <c r="P42" s="29"/>
      <c r="Q42" s="29"/>
      <c r="R42" s="29"/>
      <c r="S42" s="29"/>
      <c r="T42" s="29"/>
      <c r="U42" s="29"/>
      <c r="V42" s="35">
        <f>10*($A$6-$V$38)/0.21</f>
        <v>2546.5838509316773</v>
      </c>
      <c r="W42" s="29" t="s">
        <v>49</v>
      </c>
      <c r="X42" s="29"/>
      <c r="Y42" s="29"/>
      <c r="Z42" s="29"/>
      <c r="AA42" s="29"/>
      <c r="AB42" s="29"/>
      <c r="AC42" s="29"/>
    </row>
    <row r="43" spans="2:29" x14ac:dyDescent="0.3">
      <c r="B43" s="61" t="s">
        <v>70</v>
      </c>
      <c r="C43" s="62"/>
      <c r="D43" s="13">
        <f>F30</f>
        <v>1150</v>
      </c>
      <c r="E43" s="26">
        <f t="shared" si="0"/>
        <v>0</v>
      </c>
      <c r="F43" s="15">
        <f t="shared" si="1"/>
        <v>0</v>
      </c>
      <c r="G43" s="33">
        <f t="shared" si="2"/>
        <v>0</v>
      </c>
      <c r="H43" s="34">
        <f t="shared" si="3"/>
        <v>0</v>
      </c>
      <c r="I43" s="41">
        <f t="shared" si="4"/>
        <v>0</v>
      </c>
      <c r="J43" s="33">
        <f t="shared" si="5"/>
        <v>0</v>
      </c>
      <c r="P43" s="36"/>
      <c r="Q43" s="36"/>
      <c r="R43" s="36"/>
      <c r="S43" s="36"/>
      <c r="T43" s="36"/>
      <c r="U43" s="36"/>
      <c r="V43" s="37">
        <f>10*($A$6-$V$38)/0.46</f>
        <v>1162.5708884688092</v>
      </c>
      <c r="W43" s="36" t="s">
        <v>50</v>
      </c>
      <c r="X43" s="36"/>
      <c r="Y43" s="36"/>
      <c r="Z43" s="36"/>
      <c r="AA43" s="36"/>
      <c r="AB43" s="36"/>
      <c r="AC43" s="36"/>
    </row>
    <row r="44" spans="2:29" ht="16.5" customHeight="1" x14ac:dyDescent="0.3">
      <c r="B44" s="82" t="s">
        <v>76</v>
      </c>
      <c r="C44" s="83"/>
      <c r="D44" s="14"/>
      <c r="E44" s="14"/>
      <c r="F44" s="22">
        <v>1</v>
      </c>
      <c r="G44" s="32"/>
      <c r="H44" s="32"/>
      <c r="I44" s="42">
        <f t="shared" si="4"/>
        <v>0</v>
      </c>
      <c r="J44" s="32"/>
      <c r="P44" s="29"/>
      <c r="Q44" s="29"/>
      <c r="R44" s="29"/>
      <c r="S44" s="29"/>
      <c r="T44" s="29"/>
      <c r="U44" s="29"/>
      <c r="V44" s="38">
        <f>10*($A$6-$V$38)/0.34</f>
        <v>1572.8900255754477</v>
      </c>
      <c r="W44" s="29" t="s">
        <v>51</v>
      </c>
      <c r="X44" s="29"/>
      <c r="Y44" s="29"/>
      <c r="Z44" s="29"/>
      <c r="AA44" s="29"/>
      <c r="AB44" s="29"/>
      <c r="AC44" s="29"/>
    </row>
    <row r="45" spans="2:29" x14ac:dyDescent="0.3">
      <c r="C45" s="81" t="s">
        <v>25</v>
      </c>
      <c r="D45" s="81"/>
      <c r="E45" s="20">
        <f>SUM(E34:E43)</f>
        <v>2000.0000000000002</v>
      </c>
      <c r="F45" s="30">
        <f>SUM(F34:F44)</f>
        <v>545.6674411850131</v>
      </c>
      <c r="G45" s="44">
        <f>SUM(G34:G44)</f>
        <v>1</v>
      </c>
      <c r="H45" s="31">
        <f>SUM(H34:H43)</f>
        <v>293.52088661551574</v>
      </c>
      <c r="I45" s="31">
        <f>SUM(I34:I44)</f>
        <v>46963.341858482519</v>
      </c>
      <c r="J45" s="44">
        <f>SUM(J34:J44)</f>
        <v>1</v>
      </c>
    </row>
    <row r="46" spans="2:29" ht="15" customHeight="1" x14ac:dyDescent="0.3">
      <c r="C46" s="63" t="s">
        <v>26</v>
      </c>
      <c r="D46" s="63" t="s">
        <v>75</v>
      </c>
      <c r="E46" s="63" t="s">
        <v>82</v>
      </c>
      <c r="V46" s="1">
        <f>IF(V49&lt;0,V43,V48)</f>
        <v>1162.5708884688092</v>
      </c>
      <c r="W46" s="1" t="s">
        <v>52</v>
      </c>
    </row>
    <row r="47" spans="2:29" x14ac:dyDescent="0.3">
      <c r="C47" s="76"/>
      <c r="D47" s="76"/>
      <c r="E47" s="76"/>
      <c r="V47" s="1">
        <f>IF(V49&lt;0,0,V49)</f>
        <v>0</v>
      </c>
      <c r="W47" s="1" t="s">
        <v>53</v>
      </c>
    </row>
    <row r="48" spans="2:29" x14ac:dyDescent="0.3">
      <c r="C48" s="64"/>
      <c r="D48" s="64"/>
      <c r="E48" s="64"/>
      <c r="V48" s="1">
        <f>(10*V39-0.21*V41)/0.25</f>
        <v>2924.7058823529414</v>
      </c>
      <c r="W48" s="1" t="s">
        <v>54</v>
      </c>
    </row>
    <row r="49" spans="1:23" x14ac:dyDescent="0.3">
      <c r="C49" s="45">
        <f>Q35/10</f>
        <v>293.52088661551574</v>
      </c>
      <c r="D49" s="21">
        <f>F45*C49/2000</f>
        <v>80.082395566922429</v>
      </c>
      <c r="E49" s="46">
        <f>I45/E6</f>
        <v>3.1308894572321679</v>
      </c>
      <c r="V49" s="1">
        <f>(0.46*V41-10*V39)/0.25</f>
        <v>-3859.9147485080985</v>
      </c>
      <c r="W49" s="1" t="s">
        <v>55</v>
      </c>
    </row>
    <row r="50" spans="1:23" x14ac:dyDescent="0.3">
      <c r="V50" s="23">
        <f>IF(E13=1,V43,0)</f>
        <v>0</v>
      </c>
      <c r="W50" s="1" t="s">
        <v>56</v>
      </c>
    </row>
    <row r="51" spans="1:23" x14ac:dyDescent="0.3">
      <c r="V51" s="1">
        <f>IF(E13=2,V42,0)</f>
        <v>0</v>
      </c>
      <c r="W51" s="1" t="s">
        <v>57</v>
      </c>
    </row>
    <row r="52" spans="1:23" x14ac:dyDescent="0.3">
      <c r="A52" s="107" t="s">
        <v>85</v>
      </c>
      <c r="B52" s="108"/>
      <c r="C52" s="47">
        <f>ROUNDUP($E$49,0)</f>
        <v>4</v>
      </c>
      <c r="D52" s="48" t="s">
        <v>95</v>
      </c>
      <c r="E52" s="48"/>
      <c r="F52" s="48"/>
      <c r="G52" s="48"/>
      <c r="H52" s="48"/>
      <c r="I52" s="48"/>
      <c r="J52" s="48"/>
      <c r="K52" s="48"/>
      <c r="L52" s="48"/>
      <c r="M52" s="48"/>
    </row>
    <row r="53" spans="1:23" x14ac:dyDescent="0.3">
      <c r="A53" s="101" t="s">
        <v>13</v>
      </c>
      <c r="B53" s="102"/>
      <c r="C53" s="96">
        <v>8</v>
      </c>
      <c r="D53" s="96" t="s">
        <v>86</v>
      </c>
      <c r="E53" s="96" t="s">
        <v>87</v>
      </c>
      <c r="F53" s="96" t="s">
        <v>88</v>
      </c>
      <c r="G53" s="96" t="s">
        <v>89</v>
      </c>
      <c r="H53" s="96" t="s">
        <v>90</v>
      </c>
      <c r="I53" s="96" t="s">
        <v>91</v>
      </c>
      <c r="J53" s="96" t="s">
        <v>92</v>
      </c>
      <c r="K53" s="96" t="s">
        <v>93</v>
      </c>
      <c r="L53" s="96" t="s">
        <v>94</v>
      </c>
      <c r="M53" s="96" t="s">
        <v>96</v>
      </c>
    </row>
    <row r="54" spans="1:23" x14ac:dyDescent="0.3">
      <c r="A54" s="103"/>
      <c r="B54" s="104"/>
      <c r="C54" s="97"/>
      <c r="D54" s="98"/>
      <c r="E54" s="98"/>
      <c r="F54" s="98"/>
      <c r="G54" s="98"/>
      <c r="H54" s="98"/>
      <c r="I54" s="97"/>
      <c r="J54" s="97"/>
      <c r="K54" s="97"/>
      <c r="L54" s="98"/>
      <c r="M54" s="109"/>
    </row>
    <row r="55" spans="1:23" x14ac:dyDescent="0.3">
      <c r="A55" s="105" t="s">
        <v>14</v>
      </c>
      <c r="B55" s="106"/>
      <c r="C55" s="49">
        <f>IF($C$52=10,I34/10,IF($C$52=9,I34/9,IF($C$52=8,I34/8,IF($C$52=7,I34/7,IF($C$52=6,I34/6,IF($C$52=5,I34/5,IF($C$52=4,I34/4,IF($C$52=3,I34/3,IF($C$52=2,I34/2,IF($C$52=1,$I34/1,0))))))))))</f>
        <v>0</v>
      </c>
      <c r="D55" s="49">
        <f>IF($C$52=10,I34/10,IF($C$52=9,I34/9,IF($C$52=8,I34/8,IF($C$52=7,I34/7,IF($C$52=6,I34/6,IF($C$52=5,I34/5,IF($C$52=4,I34/4,IF($C$52=3,I34/3,IF($C$52=2,I34/2,0)))))))))</f>
        <v>0</v>
      </c>
      <c r="E55" s="49">
        <f>IF($C$52=10,I34/10,IF($C$52=9,I34/9,IF($C$52=8,I34/8,IF($C$52=7,I34/7,IF($C$52=6,I34/6,IF($C$52=5,I34/5,IF($C$52=4,I34/4,IF($C$52=3,I34/3,0))))))))</f>
        <v>0</v>
      </c>
      <c r="F55" s="49">
        <f>IF($C$52=10,I34/10,IF($C$52=9,I34/9,IF($C$52=8,I34/8,IF($C$52=7,I34/7,IF($C$52=6,I34/6,IF($C$52=5,I34/5,IF($C$52=4,I34/4,0)))))))</f>
        <v>0</v>
      </c>
      <c r="G55" s="49">
        <f>IF($C$52=10,I34/10,IF($C$52=9,I34/9,IF($C$52=8,I34/8,IF($C$52=7,I34/7,IF($C$52=6,I34/6,IF($C$52=5,I34/5,0))))))</f>
        <v>0</v>
      </c>
      <c r="H55" s="49">
        <f>IF($C$52=10,I34/10,IF($C$52=9,I34/9,IF($C$52=8,I34/8,IF($C$52=7,I34/7,IF($C$52=6,I34/6,0)))))</f>
        <v>0</v>
      </c>
      <c r="I55" s="49">
        <f>IF($C$52=10,I34/10,IF($C$52=9,I34/9,IF($C$52=8,I34/8,IF($C$52=7,I34/7,0))))</f>
        <v>0</v>
      </c>
      <c r="J55" s="50">
        <f>IF($C$52=10,I34/10,IF($C$52=9,I34/9,IF($C$52=8,I34/8,0)))</f>
        <v>0</v>
      </c>
      <c r="K55" s="50">
        <f>IF($C$52=10,I34/10,IF($C$52=9,I34/9,0))</f>
        <v>0</v>
      </c>
      <c r="L55" s="51">
        <f>IF($C$52=10,I34/10,0)</f>
        <v>0</v>
      </c>
      <c r="M55" s="52">
        <f>SUM(C55:L55)</f>
        <v>0</v>
      </c>
      <c r="N55" s="59"/>
    </row>
    <row r="56" spans="1:23" x14ac:dyDescent="0.3">
      <c r="A56" s="99" t="s">
        <v>17</v>
      </c>
      <c r="B56" s="100"/>
      <c r="C56" s="53">
        <f t="shared" ref="C56:C64" si="6">IF($C$52=10,I35/10,IF($C$52=9,I35/9,IF($C$52=8,I35/8,IF($C$52=7,I35/7,IF($C$52=6,I35/6,IF($C$52=5,I35/5,IF($C$52=4,I35/4,IF($C$52=3,I35/3,IF($C$52=2,I35/2,IF($C$52=1,$I35/1,0))))))))))</f>
        <v>0</v>
      </c>
      <c r="D56" s="53">
        <f t="shared" ref="D56:D64" si="7">IF($C$52=10,I35/10,IF($C$52=9,I35/9,IF($C$52=8,I35/8,IF($C$52=7,I35/7,IF($C$52=6,I35/6,IF($C$52=5,I35/5,IF($C$52=4,I35/4,IF($C$52=3,I35/3,IF($C$52=2,I35/2,0)))))))))</f>
        <v>0</v>
      </c>
      <c r="E56" s="53">
        <f t="shared" ref="E56:E64" si="8">IF($C$52=10,I35/10,IF($C$52=9,I35/9,IF($C$52=8,I35/8,IF($C$52=7,I35/7,IF($C$52=6,I35/6,IF($C$52=5,I35/5,IF($C$52=4,I35/4,IF($C$52=3,I35/3,0))))))))</f>
        <v>0</v>
      </c>
      <c r="F56" s="53">
        <f t="shared" ref="F56:F64" si="9">IF($C$52=10,I35/10,IF($C$52=9,I35/9,IF($C$52=8,I35/8,IF($C$52=7,I35/7,IF($C$52=6,I35/6,IF($C$52=5,I35/5,IF($C$52=4,I35/4,0)))))))</f>
        <v>0</v>
      </c>
      <c r="G56" s="53">
        <f t="shared" ref="G56:G64" si="10">IF($C$52=10,I35/10,IF($C$52=9,I35/9,IF($C$52=8,I35/8,IF($C$52=7,I35/7,IF($C$52=6,I35/6,IF($C$52=5,I35/5,0))))))</f>
        <v>0</v>
      </c>
      <c r="H56" s="53">
        <f t="shared" ref="H56:H64" si="11">IF($C$52=10,I35/10,IF($C$52=9,I35/9,IF($C$52=8,I35/8,IF($C$52=7,I35/7,IF($C$52=6,I35/6,0)))))</f>
        <v>0</v>
      </c>
      <c r="I56" s="53">
        <f t="shared" ref="I56:I64" si="12">IF($C$52=10,I35/10,IF($C$52=9,I35/9,IF($C$52=8,I35/8,IF($C$52=7,I35/7,0))))</f>
        <v>0</v>
      </c>
      <c r="J56" s="51">
        <f t="shared" ref="J56:J64" si="13">IF($C$52=10,I35/10,IF($C$52=9,I35/9,IF($C$52=8,I35/8,0)))</f>
        <v>0</v>
      </c>
      <c r="K56" s="51">
        <f t="shared" ref="K56:K64" si="14">IF($C$52=10,I35/10,IF($C$52=9,I35/9,0))</f>
        <v>0</v>
      </c>
      <c r="L56" s="51">
        <f t="shared" ref="L56:L64" si="15">IF($C$52=10,I35/10,0)</f>
        <v>0</v>
      </c>
      <c r="M56" s="54">
        <f t="shared" ref="M56:M64" si="16">SUM(C56:L56)</f>
        <v>0</v>
      </c>
      <c r="N56" s="59"/>
    </row>
    <row r="57" spans="1:23" x14ac:dyDescent="0.3">
      <c r="A57" s="99" t="s">
        <v>16</v>
      </c>
      <c r="B57" s="100"/>
      <c r="C57" s="53">
        <f t="shared" si="6"/>
        <v>6291.5601023017898</v>
      </c>
      <c r="D57" s="53">
        <f t="shared" si="7"/>
        <v>6291.5601023017898</v>
      </c>
      <c r="E57" s="53">
        <f t="shared" si="8"/>
        <v>6291.5601023017898</v>
      </c>
      <c r="F57" s="53">
        <f t="shared" si="9"/>
        <v>6291.5601023017898</v>
      </c>
      <c r="G57" s="53">
        <f t="shared" si="10"/>
        <v>0</v>
      </c>
      <c r="H57" s="53">
        <f t="shared" si="11"/>
        <v>0</v>
      </c>
      <c r="I57" s="53">
        <f t="shared" si="12"/>
        <v>0</v>
      </c>
      <c r="J57" s="51">
        <f t="shared" si="13"/>
        <v>0</v>
      </c>
      <c r="K57" s="51">
        <f t="shared" si="14"/>
        <v>0</v>
      </c>
      <c r="L57" s="51">
        <f t="shared" si="15"/>
        <v>0</v>
      </c>
      <c r="M57" s="54">
        <f t="shared" si="16"/>
        <v>25166.240409207159</v>
      </c>
      <c r="N57" s="59"/>
    </row>
    <row r="58" spans="1:23" x14ac:dyDescent="0.3">
      <c r="A58" s="99" t="s">
        <v>18</v>
      </c>
      <c r="B58" s="100"/>
      <c r="C58" s="53">
        <f t="shared" si="6"/>
        <v>4782.608695652174</v>
      </c>
      <c r="D58" s="53">
        <f t="shared" si="7"/>
        <v>4782.608695652174</v>
      </c>
      <c r="E58" s="53">
        <f t="shared" si="8"/>
        <v>4782.608695652174</v>
      </c>
      <c r="F58" s="53">
        <f t="shared" si="9"/>
        <v>4782.608695652174</v>
      </c>
      <c r="G58" s="53">
        <f t="shared" si="10"/>
        <v>0</v>
      </c>
      <c r="H58" s="53">
        <f t="shared" si="11"/>
        <v>0</v>
      </c>
      <c r="I58" s="53">
        <f t="shared" si="12"/>
        <v>0</v>
      </c>
      <c r="J58" s="51">
        <f t="shared" si="13"/>
        <v>0</v>
      </c>
      <c r="K58" s="51">
        <f t="shared" si="14"/>
        <v>0</v>
      </c>
      <c r="L58" s="51">
        <f t="shared" si="15"/>
        <v>0</v>
      </c>
      <c r="M58" s="54">
        <f t="shared" si="16"/>
        <v>19130.434782608696</v>
      </c>
      <c r="N58" s="59"/>
    </row>
    <row r="59" spans="1:23" x14ac:dyDescent="0.3">
      <c r="A59" s="99" t="s">
        <v>19</v>
      </c>
      <c r="B59" s="100"/>
      <c r="C59" s="53">
        <f t="shared" si="6"/>
        <v>0</v>
      </c>
      <c r="D59" s="53">
        <f t="shared" si="7"/>
        <v>0</v>
      </c>
      <c r="E59" s="53">
        <f t="shared" si="8"/>
        <v>0</v>
      </c>
      <c r="F59" s="53">
        <f t="shared" si="9"/>
        <v>0</v>
      </c>
      <c r="G59" s="53">
        <f t="shared" si="10"/>
        <v>0</v>
      </c>
      <c r="H59" s="53">
        <f t="shared" si="11"/>
        <v>0</v>
      </c>
      <c r="I59" s="53">
        <f t="shared" si="12"/>
        <v>0</v>
      </c>
      <c r="J59" s="51">
        <f t="shared" si="13"/>
        <v>0</v>
      </c>
      <c r="K59" s="51">
        <f t="shared" si="14"/>
        <v>0</v>
      </c>
      <c r="L59" s="51">
        <f t="shared" si="15"/>
        <v>0</v>
      </c>
      <c r="M59" s="54">
        <f t="shared" si="16"/>
        <v>0</v>
      </c>
      <c r="N59" s="59"/>
    </row>
    <row r="60" spans="1:23" x14ac:dyDescent="0.3">
      <c r="A60" s="99" t="s">
        <v>59</v>
      </c>
      <c r="B60" s="100"/>
      <c r="C60" s="53">
        <f t="shared" si="6"/>
        <v>0</v>
      </c>
      <c r="D60" s="53">
        <f t="shared" si="7"/>
        <v>0</v>
      </c>
      <c r="E60" s="53">
        <f t="shared" si="8"/>
        <v>0</v>
      </c>
      <c r="F60" s="53">
        <f t="shared" si="9"/>
        <v>0</v>
      </c>
      <c r="G60" s="53">
        <f t="shared" si="10"/>
        <v>0</v>
      </c>
      <c r="H60" s="53">
        <f t="shared" si="11"/>
        <v>0</v>
      </c>
      <c r="I60" s="53">
        <f t="shared" si="12"/>
        <v>0</v>
      </c>
      <c r="J60" s="51">
        <f t="shared" si="13"/>
        <v>0</v>
      </c>
      <c r="K60" s="51">
        <f t="shared" si="14"/>
        <v>0</v>
      </c>
      <c r="L60" s="51">
        <f t="shared" si="15"/>
        <v>0</v>
      </c>
      <c r="M60" s="54">
        <f t="shared" si="16"/>
        <v>0</v>
      </c>
      <c r="N60" s="59"/>
    </row>
    <row r="61" spans="1:23" x14ac:dyDescent="0.3">
      <c r="A61" s="99" t="s">
        <v>20</v>
      </c>
      <c r="B61" s="100"/>
      <c r="C61" s="53">
        <f t="shared" si="6"/>
        <v>666.66666666666674</v>
      </c>
      <c r="D61" s="53">
        <f t="shared" si="7"/>
        <v>666.66666666666674</v>
      </c>
      <c r="E61" s="53">
        <f t="shared" si="8"/>
        <v>666.66666666666674</v>
      </c>
      <c r="F61" s="53">
        <f t="shared" si="9"/>
        <v>666.66666666666674</v>
      </c>
      <c r="G61" s="53">
        <f t="shared" si="10"/>
        <v>0</v>
      </c>
      <c r="H61" s="53">
        <f t="shared" si="11"/>
        <v>0</v>
      </c>
      <c r="I61" s="53">
        <f t="shared" si="12"/>
        <v>0</v>
      </c>
      <c r="J61" s="51">
        <f t="shared" si="13"/>
        <v>0</v>
      </c>
      <c r="K61" s="51">
        <f t="shared" si="14"/>
        <v>0</v>
      </c>
      <c r="L61" s="51">
        <f t="shared" si="15"/>
        <v>0</v>
      </c>
      <c r="M61" s="54">
        <f t="shared" si="16"/>
        <v>2666.666666666667</v>
      </c>
      <c r="N61" s="59"/>
    </row>
    <row r="62" spans="1:23" x14ac:dyDescent="0.3">
      <c r="A62" s="99" t="s">
        <v>21</v>
      </c>
      <c r="B62" s="100"/>
      <c r="C62" s="53">
        <f t="shared" si="6"/>
        <v>0</v>
      </c>
      <c r="D62" s="53">
        <f t="shared" si="7"/>
        <v>0</v>
      </c>
      <c r="E62" s="53">
        <f t="shared" si="8"/>
        <v>0</v>
      </c>
      <c r="F62" s="53">
        <f t="shared" si="9"/>
        <v>0</v>
      </c>
      <c r="G62" s="53">
        <f t="shared" si="10"/>
        <v>0</v>
      </c>
      <c r="H62" s="53">
        <f t="shared" si="11"/>
        <v>0</v>
      </c>
      <c r="I62" s="53">
        <f t="shared" si="12"/>
        <v>0</v>
      </c>
      <c r="J62" s="51">
        <f t="shared" si="13"/>
        <v>0</v>
      </c>
      <c r="K62" s="51">
        <f t="shared" si="14"/>
        <v>0</v>
      </c>
      <c r="L62" s="51">
        <f t="shared" si="15"/>
        <v>0</v>
      </c>
      <c r="M62" s="54">
        <f t="shared" si="16"/>
        <v>0</v>
      </c>
      <c r="N62" s="59"/>
    </row>
    <row r="63" spans="1:23" x14ac:dyDescent="0.3">
      <c r="A63" s="99" t="s">
        <v>69</v>
      </c>
      <c r="B63" s="100"/>
      <c r="C63" s="53">
        <f t="shared" si="6"/>
        <v>0</v>
      </c>
      <c r="D63" s="53">
        <f t="shared" si="7"/>
        <v>0</v>
      </c>
      <c r="E63" s="53">
        <f t="shared" si="8"/>
        <v>0</v>
      </c>
      <c r="F63" s="53">
        <f t="shared" si="9"/>
        <v>0</v>
      </c>
      <c r="G63" s="53">
        <f t="shared" si="10"/>
        <v>0</v>
      </c>
      <c r="H63" s="53">
        <f t="shared" si="11"/>
        <v>0</v>
      </c>
      <c r="I63" s="53">
        <f t="shared" si="12"/>
        <v>0</v>
      </c>
      <c r="J63" s="51">
        <f t="shared" si="13"/>
        <v>0</v>
      </c>
      <c r="K63" s="51">
        <f t="shared" si="14"/>
        <v>0</v>
      </c>
      <c r="L63" s="51">
        <f t="shared" si="15"/>
        <v>0</v>
      </c>
      <c r="M63" s="54">
        <f t="shared" si="16"/>
        <v>0</v>
      </c>
      <c r="N63" s="59"/>
    </row>
    <row r="64" spans="1:23" x14ac:dyDescent="0.3">
      <c r="A64" s="94" t="s">
        <v>70</v>
      </c>
      <c r="B64" s="95"/>
      <c r="C64" s="55">
        <f t="shared" si="6"/>
        <v>0</v>
      </c>
      <c r="D64" s="55">
        <f t="shared" si="7"/>
        <v>0</v>
      </c>
      <c r="E64" s="55">
        <f t="shared" si="8"/>
        <v>0</v>
      </c>
      <c r="F64" s="55">
        <f t="shared" si="9"/>
        <v>0</v>
      </c>
      <c r="G64" s="55">
        <f t="shared" si="10"/>
        <v>0</v>
      </c>
      <c r="H64" s="55">
        <f t="shared" si="11"/>
        <v>0</v>
      </c>
      <c r="I64" s="55">
        <f t="shared" si="12"/>
        <v>0</v>
      </c>
      <c r="J64" s="56">
        <f t="shared" si="13"/>
        <v>0</v>
      </c>
      <c r="K64" s="56">
        <f t="shared" si="14"/>
        <v>0</v>
      </c>
      <c r="L64" s="56">
        <f t="shared" si="15"/>
        <v>0</v>
      </c>
      <c r="M64" s="57">
        <f t="shared" si="16"/>
        <v>0</v>
      </c>
      <c r="N64" s="59"/>
    </row>
    <row r="65" spans="1:13" x14ac:dyDescent="0.3">
      <c r="A65" s="48"/>
      <c r="B65" s="48"/>
      <c r="C65" s="58">
        <f t="shared" ref="C65:L65" si="17">SUM(C55:C64)</f>
        <v>11740.83546462063</v>
      </c>
      <c r="D65" s="58">
        <f t="shared" si="17"/>
        <v>11740.83546462063</v>
      </c>
      <c r="E65" s="58">
        <f t="shared" si="17"/>
        <v>11740.83546462063</v>
      </c>
      <c r="F65" s="58">
        <f t="shared" si="17"/>
        <v>11740.83546462063</v>
      </c>
      <c r="G65" s="58">
        <f t="shared" si="17"/>
        <v>0</v>
      </c>
      <c r="H65" s="58">
        <f t="shared" si="17"/>
        <v>0</v>
      </c>
      <c r="I65" s="58">
        <f t="shared" si="17"/>
        <v>0</v>
      </c>
      <c r="J65" s="58">
        <f t="shared" si="17"/>
        <v>0</v>
      </c>
      <c r="K65" s="58">
        <f t="shared" si="17"/>
        <v>0</v>
      </c>
      <c r="L65" s="58">
        <f t="shared" si="17"/>
        <v>0</v>
      </c>
      <c r="M65" s="58">
        <f>SUM(M55:M64)</f>
        <v>46963.341858482519</v>
      </c>
    </row>
  </sheetData>
  <sheetProtection sheet="1" objects="1" scenarios="1"/>
  <mergeCells count="75">
    <mergeCell ref="M53:M54"/>
    <mergeCell ref="F53:F54"/>
    <mergeCell ref="G53:G54"/>
    <mergeCell ref="H53:H54"/>
    <mergeCell ref="I53:I54"/>
    <mergeCell ref="J53:J54"/>
    <mergeCell ref="A57:B57"/>
    <mergeCell ref="A58:B58"/>
    <mergeCell ref="K53:K54"/>
    <mergeCell ref="L53:L54"/>
    <mergeCell ref="A52:B52"/>
    <mergeCell ref="E46:E48"/>
    <mergeCell ref="I32:I33"/>
    <mergeCell ref="J32:J33"/>
    <mergeCell ref="F32:F33"/>
    <mergeCell ref="A64:B64"/>
    <mergeCell ref="C53:C54"/>
    <mergeCell ref="D53:D54"/>
    <mergeCell ref="E53:E54"/>
    <mergeCell ref="A59:B59"/>
    <mergeCell ref="A60:B60"/>
    <mergeCell ref="A61:B61"/>
    <mergeCell ref="A62:B62"/>
    <mergeCell ref="A63:B63"/>
    <mergeCell ref="A53:B54"/>
    <mergeCell ref="A55:B55"/>
    <mergeCell ref="A56:B56"/>
    <mergeCell ref="E32:E33"/>
    <mergeCell ref="F17:F18"/>
    <mergeCell ref="F22:F23"/>
    <mergeCell ref="F27:F28"/>
    <mergeCell ref="H32:H33"/>
    <mergeCell ref="G32:G33"/>
    <mergeCell ref="A3:C3"/>
    <mergeCell ref="E4:E5"/>
    <mergeCell ref="B11:E11"/>
    <mergeCell ref="B13:D13"/>
    <mergeCell ref="B14:D14"/>
    <mergeCell ref="A11:A12"/>
    <mergeCell ref="A7:C7"/>
    <mergeCell ref="C4:C5"/>
    <mergeCell ref="A4:A5"/>
    <mergeCell ref="B4:B5"/>
    <mergeCell ref="F4:F5"/>
    <mergeCell ref="D4:D5"/>
    <mergeCell ref="D46:D48"/>
    <mergeCell ref="B18:D18"/>
    <mergeCell ref="B22:E22"/>
    <mergeCell ref="D32:D33"/>
    <mergeCell ref="B24:D24"/>
    <mergeCell ref="B15:D15"/>
    <mergeCell ref="B20:E20"/>
    <mergeCell ref="B36:C36"/>
    <mergeCell ref="B35:C35"/>
    <mergeCell ref="F11:F12"/>
    <mergeCell ref="C45:D45"/>
    <mergeCell ref="B44:C44"/>
    <mergeCell ref="A8:D8"/>
    <mergeCell ref="C46:C48"/>
    <mergeCell ref="B43:C43"/>
    <mergeCell ref="A17:A18"/>
    <mergeCell ref="B38:C38"/>
    <mergeCell ref="B39:C39"/>
    <mergeCell ref="B41:C41"/>
    <mergeCell ref="B40:C40"/>
    <mergeCell ref="B42:C42"/>
    <mergeCell ref="A27:A28"/>
    <mergeCell ref="B27:E27"/>
    <mergeCell ref="B29:D29"/>
    <mergeCell ref="B30:D30"/>
    <mergeCell ref="B37:C37"/>
    <mergeCell ref="A22:A23"/>
    <mergeCell ref="B17:E17"/>
    <mergeCell ref="B32:C33"/>
    <mergeCell ref="B34:C34"/>
  </mergeCells>
  <dataValidations count="5">
    <dataValidation type="whole" allowBlank="1" showInputMessage="1" showErrorMessage="1" errorTitle="Acres" error="Please choose any acerage between 0-640" sqref="F6">
      <formula1>0</formula1>
      <formula2>640</formula2>
    </dataValidation>
    <dataValidation type="whole" allowBlank="1" showInputMessage="1" showErrorMessage="1" errorTitle="Nitrogen Choice" error="Please choose a nitrogen source between 1 and 3" sqref="E13">
      <formula1>1</formula1>
      <formula2>3</formula2>
    </dataValidation>
    <dataValidation type="whole" allowBlank="1" showInputMessage="1" showErrorMessage="1" errorTitle="Phosphorus Choice" error="Please choose a phosphorus source between 1 and 2" sqref="E18">
      <formula1>1</formula1>
      <formula2>2</formula2>
    </dataValidation>
    <dataValidation type="whole" allowBlank="1" showInputMessage="1" showErrorMessage="1" errorTitle="Potassium Choice" error="Please choose a Potassium source between 1 and 2" sqref="E23">
      <formula1>1</formula1>
      <formula2>2</formula2>
    </dataValidation>
    <dataValidation type="whole" allowBlank="1" showInputMessage="1" showErrorMessage="1" errorTitle="Magnesium Choice" error="Please choose a Magnesium source between 1 and 2" sqref="E28">
      <formula1>1</formula1>
      <formula2>2</formula2>
    </dataValidation>
  </dataValidations>
  <hyperlinks>
    <hyperlink ref="H5" r:id="rId1"/>
  </hyperlinks>
  <pageMargins left="0.5" right="0.5" top="0.25" bottom="0.25" header="0.3" footer="0.3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Parrish, Robert</dc:creator>
  <cp:lastModifiedBy>Morris, Samantha Joell</cp:lastModifiedBy>
  <cp:lastPrinted>2013-12-13T17:01:02Z</cp:lastPrinted>
  <dcterms:created xsi:type="dcterms:W3CDTF">2013-12-12T19:01:32Z</dcterms:created>
  <dcterms:modified xsi:type="dcterms:W3CDTF">2021-03-24T21:18:37Z</dcterms:modified>
</cp:coreProperties>
</file>