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ir\Dropbox\Bee break even fact sheet\"/>
    </mc:Choice>
  </mc:AlternateContent>
  <xr:revisionPtr revIDLastSave="0" documentId="8_{98E02C9C-998D-4480-8B51-4A4166203592}" xr6:coauthVersionLast="46" xr6:coauthVersionMax="46" xr10:uidLastSave="{00000000-0000-0000-0000-000000000000}"/>
  <bookViews>
    <workbookView xWindow="-110" yWindow="-110" windowWidth="19420" windowHeight="10420" tabRatio="963" xr2:uid="{00000000-000D-0000-FFFF-FFFF00000000}"/>
  </bookViews>
  <sheets>
    <sheet name="Multi product 8 oz honey" sheetId="4" r:id="rId1"/>
    <sheet name="Multi product 1 lb honey" sheetId="21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'Multi product 8 oz honey'!#REF!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4" l="1"/>
  <c r="D13" i="4"/>
  <c r="K29" i="21"/>
  <c r="G7" i="21"/>
  <c r="D7" i="21"/>
  <c r="F100" i="21"/>
  <c r="F99" i="21"/>
  <c r="F98" i="21"/>
  <c r="B104" i="21" s="1"/>
  <c r="L70" i="21"/>
  <c r="K70" i="21"/>
  <c r="B63" i="21" s="1"/>
  <c r="O66" i="21"/>
  <c r="O63" i="21" s="1"/>
  <c r="K65" i="21"/>
  <c r="K64" i="21"/>
  <c r="K63" i="21"/>
  <c r="S62" i="21"/>
  <c r="V68" i="21" s="1"/>
  <c r="K62" i="21"/>
  <c r="B62" i="21"/>
  <c r="K61" i="21"/>
  <c r="B61" i="21"/>
  <c r="K60" i="21"/>
  <c r="L69" i="21" s="1"/>
  <c r="L71" i="21" s="1"/>
  <c r="B60" i="21"/>
  <c r="K69" i="21" s="1"/>
  <c r="K71" i="21" s="1"/>
  <c r="K59" i="21"/>
  <c r="L55" i="21"/>
  <c r="K55" i="21"/>
  <c r="B77" i="21" s="1"/>
  <c r="K54" i="21"/>
  <c r="K56" i="21" s="1"/>
  <c r="O52" i="21"/>
  <c r="O53" i="21" s="1"/>
  <c r="K50" i="21"/>
  <c r="K49" i="21"/>
  <c r="S48" i="21"/>
  <c r="P48" i="21" s="1"/>
  <c r="K48" i="21"/>
  <c r="B48" i="21"/>
  <c r="K47" i="21"/>
  <c r="B47" i="21"/>
  <c r="K46" i="21"/>
  <c r="B46" i="21"/>
  <c r="K45" i="21"/>
  <c r="L54" i="21" s="1"/>
  <c r="L41" i="21"/>
  <c r="K41" i="21"/>
  <c r="O39" i="21"/>
  <c r="O40" i="21" s="1"/>
  <c r="O41" i="21" s="1"/>
  <c r="O42" i="21" s="1"/>
  <c r="K39" i="21"/>
  <c r="O38" i="21"/>
  <c r="O37" i="21" s="1"/>
  <c r="O36" i="21" s="1"/>
  <c r="K38" i="21"/>
  <c r="K37" i="21"/>
  <c r="K36" i="21"/>
  <c r="S35" i="21"/>
  <c r="R35" i="21" s="1"/>
  <c r="Q35" i="21" s="1"/>
  <c r="P35" i="21" s="1"/>
  <c r="K30" i="21"/>
  <c r="O28" i="21"/>
  <c r="O27" i="21" s="1"/>
  <c r="O26" i="21" s="1"/>
  <c r="O25" i="21" s="1"/>
  <c r="K26" i="21"/>
  <c r="K25" i="21"/>
  <c r="S24" i="21"/>
  <c r="T24" i="21" s="1"/>
  <c r="U24" i="21" s="1"/>
  <c r="V24" i="21" s="1"/>
  <c r="R24" i="21"/>
  <c r="Q24" i="21" s="1"/>
  <c r="P24" i="21" s="1"/>
  <c r="K24" i="21"/>
  <c r="K23" i="21"/>
  <c r="K22" i="21"/>
  <c r="K21" i="21"/>
  <c r="L32" i="21" s="1"/>
  <c r="C79" i="21" s="1"/>
  <c r="K16" i="21"/>
  <c r="I11" i="21"/>
  <c r="G9" i="21"/>
  <c r="D9" i="21"/>
  <c r="G8" i="21"/>
  <c r="D8" i="21"/>
  <c r="D11" i="21" s="1"/>
  <c r="J13" i="21" s="1"/>
  <c r="V66" i="21" l="1"/>
  <c r="O29" i="21"/>
  <c r="O30" i="21" s="1"/>
  <c r="O31" i="21" s="1"/>
  <c r="V67" i="21"/>
  <c r="O64" i="21"/>
  <c r="T35" i="21"/>
  <c r="U35" i="21" s="1"/>
  <c r="V35" i="21" s="1"/>
  <c r="S69" i="21"/>
  <c r="R62" i="21"/>
  <c r="T69" i="21"/>
  <c r="P63" i="21"/>
  <c r="L73" i="21"/>
  <c r="C80" i="21" s="1"/>
  <c r="C81" i="21" s="1"/>
  <c r="B30" i="21"/>
  <c r="K32" i="21" s="1"/>
  <c r="B79" i="21" s="1"/>
  <c r="C87" i="21" s="1"/>
  <c r="V65" i="21"/>
  <c r="G11" i="21"/>
  <c r="O49" i="21"/>
  <c r="Q48" i="21"/>
  <c r="L56" i="21"/>
  <c r="K73" i="21"/>
  <c r="B80" i="21" s="1"/>
  <c r="D13" i="21"/>
  <c r="D87" i="21"/>
  <c r="D86" i="21"/>
  <c r="D88" i="21"/>
  <c r="U69" i="21"/>
  <c r="R48" i="21"/>
  <c r="T62" i="21"/>
  <c r="R63" i="21"/>
  <c r="Q64" i="21"/>
  <c r="P65" i="21"/>
  <c r="P66" i="21"/>
  <c r="P67" i="21"/>
  <c r="P68" i="21"/>
  <c r="V69" i="21"/>
  <c r="Q63" i="21"/>
  <c r="O65" i="21"/>
  <c r="O67" i="21"/>
  <c r="O54" i="21"/>
  <c r="B78" i="21"/>
  <c r="O51" i="21"/>
  <c r="P64" i="21"/>
  <c r="O68" i="21"/>
  <c r="U62" i="21"/>
  <c r="S63" i="21"/>
  <c r="R64" i="21"/>
  <c r="Q65" i="21"/>
  <c r="Q66" i="21"/>
  <c r="Q67" i="21"/>
  <c r="O69" i="21"/>
  <c r="T48" i="21"/>
  <c r="V62" i="21"/>
  <c r="T63" i="21"/>
  <c r="S64" i="21"/>
  <c r="R65" i="21"/>
  <c r="R66" i="21"/>
  <c r="R67" i="21"/>
  <c r="R68" i="21"/>
  <c r="P69" i="21"/>
  <c r="Q68" i="21"/>
  <c r="U48" i="21"/>
  <c r="O55" i="21"/>
  <c r="U63" i="21"/>
  <c r="T64" i="21"/>
  <c r="S65" i="21"/>
  <c r="S66" i="21"/>
  <c r="H91" i="21" s="1"/>
  <c r="J92" i="21" s="1"/>
  <c r="J91" i="21" s="1"/>
  <c r="S67" i="21"/>
  <c r="S68" i="21"/>
  <c r="Q69" i="21"/>
  <c r="B102" i="21"/>
  <c r="V48" i="21"/>
  <c r="P62" i="21"/>
  <c r="V63" i="21"/>
  <c r="U64" i="21"/>
  <c r="T65" i="21"/>
  <c r="T66" i="21"/>
  <c r="T67" i="21"/>
  <c r="T68" i="21"/>
  <c r="R69" i="21"/>
  <c r="B103" i="21"/>
  <c r="O50" i="21"/>
  <c r="Q62" i="21"/>
  <c r="V64" i="21"/>
  <c r="U65" i="21"/>
  <c r="U66" i="21"/>
  <c r="U67" i="21"/>
  <c r="U68" i="21"/>
  <c r="S48" i="4"/>
  <c r="J14" i="21" l="1"/>
  <c r="H13" i="21"/>
  <c r="C88" i="21"/>
  <c r="C86" i="21"/>
  <c r="B81" i="21"/>
  <c r="U51" i="21"/>
  <c r="V55" i="21"/>
  <c r="P49" i="21"/>
  <c r="V51" i="21"/>
  <c r="U49" i="21"/>
  <c r="S50" i="21"/>
  <c r="D91" i="21"/>
  <c r="T53" i="21" s="1"/>
  <c r="C91" i="21"/>
  <c r="F98" i="4"/>
  <c r="B46" i="4"/>
  <c r="K70" i="4"/>
  <c r="K55" i="4"/>
  <c r="L55" i="4"/>
  <c r="O66" i="4"/>
  <c r="O65" i="4" s="1"/>
  <c r="S62" i="4"/>
  <c r="O52" i="4"/>
  <c r="U48" i="4"/>
  <c r="L70" i="4"/>
  <c r="K39" i="4"/>
  <c r="K38" i="4"/>
  <c r="K37" i="4"/>
  <c r="K36" i="4"/>
  <c r="K26" i="4"/>
  <c r="K25" i="4"/>
  <c r="K24" i="4"/>
  <c r="K23" i="4"/>
  <c r="K22" i="4"/>
  <c r="K21" i="4"/>
  <c r="U54" i="21" l="1"/>
  <c r="R55" i="21"/>
  <c r="S49" i="21"/>
  <c r="V49" i="21"/>
  <c r="V52" i="21"/>
  <c r="R49" i="21"/>
  <c r="V50" i="21"/>
  <c r="R50" i="21"/>
  <c r="R53" i="21"/>
  <c r="V53" i="21"/>
  <c r="Q55" i="21"/>
  <c r="V54" i="21"/>
  <c r="S51" i="21"/>
  <c r="Q51" i="21"/>
  <c r="T49" i="21"/>
  <c r="R51" i="21"/>
  <c r="S52" i="21"/>
  <c r="H87" i="21" s="1"/>
  <c r="J88" i="21" s="1"/>
  <c r="J87" i="21" s="1"/>
  <c r="S53" i="21"/>
  <c r="P50" i="21"/>
  <c r="R54" i="21"/>
  <c r="U50" i="21"/>
  <c r="U52" i="21"/>
  <c r="T51" i="21"/>
  <c r="P51" i="21"/>
  <c r="S55" i="21"/>
  <c r="P55" i="21"/>
  <c r="P52" i="21"/>
  <c r="S54" i="21"/>
  <c r="P53" i="21"/>
  <c r="T55" i="21"/>
  <c r="Q50" i="21"/>
  <c r="Q52" i="21"/>
  <c r="R52" i="21"/>
  <c r="Q53" i="21"/>
  <c r="Q54" i="21"/>
  <c r="P54" i="21"/>
  <c r="T50" i="21"/>
  <c r="U55" i="21"/>
  <c r="U53" i="21"/>
  <c r="Q49" i="21"/>
  <c r="T54" i="21"/>
  <c r="T52" i="21"/>
  <c r="U42" i="21"/>
  <c r="U41" i="21"/>
  <c r="P38" i="21"/>
  <c r="Q37" i="21"/>
  <c r="R36" i="21"/>
  <c r="T31" i="21"/>
  <c r="T30" i="21"/>
  <c r="V29" i="21"/>
  <c r="P25" i="21"/>
  <c r="V42" i="21"/>
  <c r="P39" i="21"/>
  <c r="P27" i="21"/>
  <c r="T42" i="21"/>
  <c r="T41" i="21"/>
  <c r="V40" i="21"/>
  <c r="V39" i="21"/>
  <c r="P37" i="21"/>
  <c r="Q36" i="21"/>
  <c r="S31" i="21"/>
  <c r="S30" i="21"/>
  <c r="U29" i="21"/>
  <c r="V28" i="21"/>
  <c r="V27" i="21"/>
  <c r="V26" i="21"/>
  <c r="Q40" i="21"/>
  <c r="R38" i="21"/>
  <c r="T36" i="21"/>
  <c r="V31" i="21"/>
  <c r="Q27" i="21"/>
  <c r="V41" i="21"/>
  <c r="Q38" i="21"/>
  <c r="U30" i="21"/>
  <c r="P26" i="21"/>
  <c r="S42" i="21"/>
  <c r="S41" i="21"/>
  <c r="U40" i="21"/>
  <c r="U39" i="21"/>
  <c r="V38" i="21"/>
  <c r="P36" i="21"/>
  <c r="R31" i="21"/>
  <c r="R30" i="21"/>
  <c r="T29" i="21"/>
  <c r="U28" i="21"/>
  <c r="U27" i="21"/>
  <c r="U26" i="21"/>
  <c r="V25" i="21"/>
  <c r="R29" i="21"/>
  <c r="R42" i="21"/>
  <c r="R41" i="21"/>
  <c r="T40" i="21"/>
  <c r="T39" i="21"/>
  <c r="U38" i="21"/>
  <c r="V37" i="21"/>
  <c r="Q31" i="21"/>
  <c r="Q30" i="21"/>
  <c r="S29" i="21"/>
  <c r="T28" i="21"/>
  <c r="T27" i="21"/>
  <c r="T26" i="21"/>
  <c r="U25" i="21"/>
  <c r="S40" i="21"/>
  <c r="V36" i="21"/>
  <c r="R27" i="21"/>
  <c r="R25" i="21"/>
  <c r="Q42" i="21"/>
  <c r="Q41" i="21"/>
  <c r="S39" i="21"/>
  <c r="G91" i="21" s="1"/>
  <c r="T38" i="21"/>
  <c r="U37" i="21"/>
  <c r="P31" i="21"/>
  <c r="P30" i="21"/>
  <c r="S28" i="21"/>
  <c r="G87" i="21" s="1"/>
  <c r="S27" i="21"/>
  <c r="S26" i="21"/>
  <c r="T25" i="21"/>
  <c r="Q29" i="21"/>
  <c r="R28" i="21"/>
  <c r="S25" i="21"/>
  <c r="S37" i="21"/>
  <c r="P29" i="21"/>
  <c r="U31" i="21"/>
  <c r="P28" i="21"/>
  <c r="Q25" i="21"/>
  <c r="P42" i="21"/>
  <c r="P41" i="21"/>
  <c r="R40" i="21"/>
  <c r="R39" i="21"/>
  <c r="S38" i="21"/>
  <c r="T37" i="21"/>
  <c r="U36" i="21"/>
  <c r="R26" i="21"/>
  <c r="Q39" i="21"/>
  <c r="V30" i="21"/>
  <c r="Q28" i="21"/>
  <c r="Q26" i="21"/>
  <c r="P40" i="21"/>
  <c r="R37" i="21"/>
  <c r="S36" i="21"/>
  <c r="U65" i="4"/>
  <c r="Q68" i="4"/>
  <c r="P65" i="4"/>
  <c r="R65" i="4"/>
  <c r="T65" i="4"/>
  <c r="V65" i="4"/>
  <c r="Q66" i="4"/>
  <c r="P66" i="4"/>
  <c r="R66" i="4"/>
  <c r="T66" i="4"/>
  <c r="V66" i="4"/>
  <c r="T69" i="4"/>
  <c r="Q65" i="4"/>
  <c r="U66" i="4"/>
  <c r="P68" i="4"/>
  <c r="S65" i="4"/>
  <c r="P69" i="4"/>
  <c r="S68" i="4"/>
  <c r="S66" i="4"/>
  <c r="H91" i="4" s="1"/>
  <c r="J92" i="4" s="1"/>
  <c r="O63" i="4"/>
  <c r="R63" i="4" s="1"/>
  <c r="O69" i="4"/>
  <c r="S69" i="4" s="1"/>
  <c r="O64" i="4"/>
  <c r="P64" i="4" s="1"/>
  <c r="O67" i="4"/>
  <c r="P67" i="4" s="1"/>
  <c r="O68" i="4"/>
  <c r="R68" i="4" s="1"/>
  <c r="R48" i="4"/>
  <c r="T48" i="4"/>
  <c r="P62" i="4"/>
  <c r="Q62" i="4"/>
  <c r="T62" i="4"/>
  <c r="R62" i="4"/>
  <c r="U62" i="4"/>
  <c r="V62" i="4"/>
  <c r="O54" i="4"/>
  <c r="O55" i="4"/>
  <c r="O49" i="4"/>
  <c r="O53" i="4"/>
  <c r="O50" i="4"/>
  <c r="O51" i="4"/>
  <c r="V48" i="4"/>
  <c r="Q48" i="4"/>
  <c r="P48" i="4"/>
  <c r="L41" i="4"/>
  <c r="T67" i="4" l="1"/>
  <c r="S67" i="4"/>
  <c r="Q67" i="4"/>
  <c r="R67" i="4"/>
  <c r="V67" i="4"/>
  <c r="U67" i="4"/>
  <c r="Q64" i="4"/>
  <c r="R69" i="4"/>
  <c r="U69" i="4"/>
  <c r="T63" i="4"/>
  <c r="Q63" i="4"/>
  <c r="S63" i="4"/>
  <c r="U63" i="4"/>
  <c r="U68" i="4"/>
  <c r="V63" i="4"/>
  <c r="V69" i="4"/>
  <c r="P63" i="4"/>
  <c r="U64" i="4"/>
  <c r="V64" i="4"/>
  <c r="S64" i="4"/>
  <c r="V68" i="4"/>
  <c r="T64" i="4"/>
  <c r="T68" i="4"/>
  <c r="Q69" i="4"/>
  <c r="R64" i="4"/>
  <c r="I11" i="4" l="1"/>
  <c r="G9" i="4"/>
  <c r="G8" i="4"/>
  <c r="G7" i="4"/>
  <c r="G11" i="4" s="1"/>
  <c r="S24" i="4"/>
  <c r="J14" i="4" l="1"/>
  <c r="F99" i="4" l="1"/>
  <c r="B78" i="4"/>
  <c r="K65" i="4"/>
  <c r="K59" i="4"/>
  <c r="K45" i="4"/>
  <c r="K30" i="4"/>
  <c r="K29" i="4"/>
  <c r="L32" i="4" l="1"/>
  <c r="C79" i="4" s="1"/>
  <c r="D88" i="4" s="1"/>
  <c r="K41" i="4"/>
  <c r="D86" i="4" l="1"/>
  <c r="D87" i="4"/>
  <c r="D91" i="4" l="1"/>
  <c r="K64" i="4"/>
  <c r="K63" i="4"/>
  <c r="K62" i="4"/>
  <c r="K61" i="4"/>
  <c r="K60" i="4"/>
  <c r="K46" i="4"/>
  <c r="K47" i="4"/>
  <c r="K48" i="4"/>
  <c r="K49" i="4"/>
  <c r="K50" i="4"/>
  <c r="L54" i="4" l="1"/>
  <c r="L56" i="4" s="1"/>
  <c r="L69" i="4"/>
  <c r="L71" i="4" s="1"/>
  <c r="L73" i="4" l="1"/>
  <c r="C80" i="4" s="1"/>
  <c r="V50" i="4" l="1"/>
  <c r="T50" i="4"/>
  <c r="R50" i="4"/>
  <c r="P50" i="4"/>
  <c r="P49" i="4"/>
  <c r="T49" i="4"/>
  <c r="Q55" i="4"/>
  <c r="V51" i="4"/>
  <c r="T51" i="4"/>
  <c r="R51" i="4"/>
  <c r="P51" i="4"/>
  <c r="P55" i="4"/>
  <c r="S54" i="4"/>
  <c r="V52" i="4"/>
  <c r="T52" i="4"/>
  <c r="R52" i="4"/>
  <c r="P52" i="4"/>
  <c r="Q52" i="4"/>
  <c r="U54" i="4"/>
  <c r="V53" i="4"/>
  <c r="T53" i="4"/>
  <c r="R53" i="4"/>
  <c r="P53" i="4"/>
  <c r="R55" i="4"/>
  <c r="S52" i="4"/>
  <c r="H87" i="4" s="1"/>
  <c r="U49" i="4"/>
  <c r="V54" i="4"/>
  <c r="T54" i="4"/>
  <c r="R54" i="4"/>
  <c r="P54" i="4"/>
  <c r="T55" i="4"/>
  <c r="Q54" i="4"/>
  <c r="V55" i="4"/>
  <c r="S49" i="4"/>
  <c r="S55" i="4"/>
  <c r="U50" i="4"/>
  <c r="S50" i="4"/>
  <c r="Q50" i="4"/>
  <c r="Q49" i="4"/>
  <c r="U53" i="4"/>
  <c r="V49" i="4"/>
  <c r="U51" i="4"/>
  <c r="S51" i="4"/>
  <c r="Q51" i="4"/>
  <c r="R49" i="4"/>
  <c r="S53" i="4"/>
  <c r="U55" i="4"/>
  <c r="U52" i="4"/>
  <c r="Q53" i="4"/>
  <c r="C81" i="4"/>
  <c r="J88" i="4" l="1"/>
  <c r="D9" i="4"/>
  <c r="D8" i="4"/>
  <c r="D7" i="4"/>
  <c r="D11" i="4" l="1"/>
  <c r="J13" i="4" s="1"/>
  <c r="O39" i="4"/>
  <c r="O38" i="4" s="1"/>
  <c r="S35" i="4"/>
  <c r="O28" i="4"/>
  <c r="R24" i="4"/>
  <c r="B76" i="4" l="1"/>
  <c r="O37" i="4"/>
  <c r="O40" i="4"/>
  <c r="T35" i="4"/>
  <c r="T24" i="4"/>
  <c r="Q24" i="4"/>
  <c r="P24" i="4" s="1"/>
  <c r="R35" i="4"/>
  <c r="O29" i="4"/>
  <c r="O27" i="4"/>
  <c r="K16" i="4" l="1"/>
  <c r="O36" i="4"/>
  <c r="O41" i="4"/>
  <c r="U35" i="4"/>
  <c r="V35" i="4" s="1"/>
  <c r="U24" i="4"/>
  <c r="Q35" i="4"/>
  <c r="O26" i="4"/>
  <c r="O30" i="4"/>
  <c r="F100" i="4"/>
  <c r="B102" i="4" l="1"/>
  <c r="B103" i="4"/>
  <c r="B104" i="4"/>
  <c r="V24" i="4"/>
  <c r="O42" i="4"/>
  <c r="P35" i="4"/>
  <c r="O31" i="4"/>
  <c r="O25" i="4"/>
  <c r="B48" i="4" l="1"/>
  <c r="B47" i="4"/>
  <c r="K54" i="4" s="1"/>
  <c r="B61" i="4"/>
  <c r="B62" i="4"/>
  <c r="B60" i="4"/>
  <c r="B63" i="4" l="1"/>
  <c r="K69" i="4" s="1"/>
  <c r="K71" i="4" l="1"/>
  <c r="K73" i="4"/>
  <c r="B80" i="4" s="1"/>
  <c r="J91" i="4" l="1"/>
  <c r="J87" i="4"/>
  <c r="B30" i="4" l="1"/>
  <c r="K32" i="4"/>
  <c r="B79" i="4" s="1"/>
  <c r="K56" i="4"/>
  <c r="B77" i="4"/>
  <c r="C86" i="4" l="1"/>
  <c r="C87" i="4"/>
  <c r="C88" i="4"/>
  <c r="B81" i="4"/>
  <c r="C91" i="4" l="1"/>
  <c r="U37" i="4" l="1"/>
  <c r="S37" i="4"/>
  <c r="Q37" i="4"/>
  <c r="P36" i="4"/>
  <c r="V36" i="4"/>
  <c r="T31" i="4"/>
  <c r="R31" i="4"/>
  <c r="P31" i="4"/>
  <c r="U38" i="4"/>
  <c r="Q36" i="4"/>
  <c r="Q26" i="4"/>
  <c r="U40" i="4"/>
  <c r="S40" i="4"/>
  <c r="Q40" i="4"/>
  <c r="S36" i="4"/>
  <c r="U28" i="4"/>
  <c r="S28" i="4"/>
  <c r="Q28" i="4"/>
  <c r="R25" i="4"/>
  <c r="S41" i="4"/>
  <c r="T36" i="4"/>
  <c r="S29" i="4"/>
  <c r="S25" i="4"/>
  <c r="U27" i="4"/>
  <c r="U41" i="4"/>
  <c r="Q41" i="4"/>
  <c r="U29" i="4"/>
  <c r="Q29" i="4"/>
  <c r="T38" i="4"/>
  <c r="V38" i="4"/>
  <c r="R26" i="4"/>
  <c r="U26" i="4"/>
  <c r="U42" i="4"/>
  <c r="S42" i="4"/>
  <c r="Q42" i="4"/>
  <c r="U36" i="4"/>
  <c r="U30" i="4"/>
  <c r="S30" i="4"/>
  <c r="Q30" i="4"/>
  <c r="T25" i="4"/>
  <c r="R37" i="4"/>
  <c r="T26" i="4"/>
  <c r="V25" i="4"/>
  <c r="P25" i="4"/>
  <c r="T37" i="4"/>
  <c r="R42" i="4"/>
  <c r="P37" i="4"/>
  <c r="V37" i="4"/>
  <c r="U31" i="4"/>
  <c r="S31" i="4"/>
  <c r="Q31" i="4"/>
  <c r="U25" i="4"/>
  <c r="P38" i="4"/>
  <c r="P26" i="4"/>
  <c r="V26" i="4"/>
  <c r="U39" i="4"/>
  <c r="T39" i="4"/>
  <c r="R38" i="4"/>
  <c r="P39" i="4"/>
  <c r="V39" i="4"/>
  <c r="T27" i="4"/>
  <c r="R27" i="4"/>
  <c r="P27" i="4"/>
  <c r="V27" i="4"/>
  <c r="T42" i="4"/>
  <c r="P42" i="4"/>
  <c r="R30" i="4"/>
  <c r="V30" i="4"/>
  <c r="Q39" i="4"/>
  <c r="S27" i="4"/>
  <c r="Q25" i="4"/>
  <c r="T40" i="4"/>
  <c r="R39" i="4"/>
  <c r="P40" i="4"/>
  <c r="V40" i="4"/>
  <c r="T28" i="4"/>
  <c r="R28" i="4"/>
  <c r="P28" i="4"/>
  <c r="V28" i="4"/>
  <c r="T30" i="4"/>
  <c r="S38" i="4"/>
  <c r="Q38" i="4"/>
  <c r="S26" i="4"/>
  <c r="T41" i="4"/>
  <c r="R40" i="4"/>
  <c r="P41" i="4"/>
  <c r="V41" i="4"/>
  <c r="T29" i="4"/>
  <c r="R29" i="4"/>
  <c r="P29" i="4"/>
  <c r="V29" i="4"/>
  <c r="R41" i="4"/>
  <c r="V42" i="4"/>
  <c r="P30" i="4"/>
  <c r="V31" i="4"/>
  <c r="S39" i="4"/>
  <c r="G91" i="4" s="1"/>
  <c r="R36" i="4"/>
  <c r="Q27" i="4"/>
  <c r="G8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Lucas, Camryn</author>
    <author>CBir</author>
    <author>Bir, Courtney</author>
  </authors>
  <commentList>
    <comment ref="K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Insert total number from AGEC-2002 in cell G44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the number of deep frames you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Pounds of honey produced based on number of deep frames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total lbs. of honey harvested from deep frames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Insert the number of medium frames you harvested 
</t>
        </r>
      </text>
    </comment>
    <comment ref="G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Pounds of honey produced based on number of medium frames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Insert total lbs. of honey harvested from medium frames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Insert the number of shallow frames you harvested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Pounds of honey produced based on number of shallow frames harvested
</t>
        </r>
      </text>
    </comment>
    <comment ref="I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Insert total lbs. of honey harvested from shallow frames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H13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Estimated wax harvested based on lbs. of honey produced</t>
        </r>
      </text>
    </comment>
    <comment ref="H14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Please provide the total amount of wax harvested in ounces. If you are unsure you can use the estimate</t>
        </r>
      </text>
    </comment>
    <comment ref="J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If number is not provided in finished lbs. honey total, example total lbs. will be used as default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Insert amount of wax you use for lotion bars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If you receive the "insufficient wax" message you will need to use less wax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Insert amount of wax used for lip balms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Insert number of extractors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Insert price per unit for extractor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Insert number of uncapping knives purchased
</t>
        </r>
      </text>
    </comment>
    <comment ref="I22" authorId="2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Insert price per unit for uncapping knife </t>
        </r>
      </text>
    </comment>
    <comment ref="G2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Insert number of uncapping scratchers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2" shapeId="0" xr:uid="{00000000-0006-0000-0000-000016000000}">
      <text>
        <r>
          <rPr>
            <b/>
            <sz val="9"/>
            <color indexed="81"/>
            <rFont val="Tahoma"/>
            <family val="2"/>
          </rPr>
          <t>Insert price per unit for uncapping scratcher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Insert number of strainers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2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Insert price per unit for strainer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2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Insert number of bottling buckets purchased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2" shapeId="0" xr:uid="{00000000-0006-0000-0000-00001A000000}">
      <text>
        <r>
          <rPr>
            <b/>
            <sz val="9"/>
            <color indexed="81"/>
            <rFont val="Tahoma"/>
            <family val="2"/>
          </rPr>
          <t>Insert price per unit for bottling bucket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Insert number of other harvesting fixed cost items</t>
        </r>
      </text>
    </comment>
    <comment ref="I26" authorId="2" shapeId="0" xr:uid="{00000000-0006-0000-0000-00001C000000}">
      <text>
        <r>
          <rPr>
            <b/>
            <sz val="9"/>
            <color indexed="81"/>
            <rFont val="Tahoma"/>
            <family val="2"/>
          </rPr>
          <t>Insert price per unit for other equipment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Insert number of boilers purchased</t>
        </r>
      </text>
    </comment>
    <comment ref="I29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Insert price per boiler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Insert the number of silicone molds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Insert price per mold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If number start up costs are not provided, example start up cost will be used.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Insert hours worked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Insert the cost of labor per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Insert amount of labor used to maintain hives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Insert the cost of labor per hour</t>
        </r>
      </text>
    </comment>
    <comment ref="G38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Number of containers purchased</t>
        </r>
      </text>
    </comment>
    <comment ref="I38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Insert the price per container
</t>
        </r>
      </text>
    </comment>
    <comment ref="G39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Insert gallons of water used </t>
        </r>
      </text>
    </comment>
    <comment ref="I3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Insert price of water per gallon in your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2" shapeId="0" xr:uid="{00000000-0006-0000-0000-00002A000000}">
      <text>
        <r>
          <rPr>
            <b/>
            <sz val="9"/>
            <color indexed="81"/>
            <rFont val="Tahoma"/>
            <family val="2"/>
          </rPr>
          <t>Insert ounces of wax used</t>
        </r>
      </text>
    </comment>
    <comment ref="I4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Insert price of wax per oz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 xml:space="preserve">Insert ounces of shea butter used </t>
        </r>
      </text>
    </comment>
    <comment ref="I4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Insert price of shea butter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Insert ounces of olive oil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Insert price olive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Insert ounces of essential oils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Insert price of oils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</text>
    </comment>
    <comment ref="G4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Insert the amount of labor you used to make lotion bars</t>
        </r>
        <r>
          <rPr>
            <b/>
            <sz val="12"/>
            <color indexed="81"/>
            <rFont val="Calibri"/>
            <family val="2"/>
            <scheme val="minor"/>
          </rPr>
          <t xml:space="preserve"> 
</t>
        </r>
      </text>
    </comment>
    <comment ref="I49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Insert cost of labor per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Insert the amount of water you used to make lotion bar</t>
        </r>
        <r>
          <rPr>
            <b/>
            <sz val="12"/>
            <color indexed="81"/>
            <rFont val="Calibri"/>
            <family val="2"/>
            <scheme val="minor"/>
          </rPr>
          <t xml:space="preserve">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Insert price of water per gallon in your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Put the cost of any ingredients to make the lotion bar not included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9" authorId="2" shapeId="0" xr:uid="{00000000-0006-0000-0000-000037000000}">
      <text>
        <r>
          <rPr>
            <b/>
            <sz val="9"/>
            <color indexed="81"/>
            <rFont val="Tahoma"/>
            <family val="2"/>
          </rPr>
          <t>Insert oz of wax used</t>
        </r>
      </text>
    </comment>
    <comment ref="I59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Insert price of wax per oz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Insert ounces of shea butter used </t>
        </r>
      </text>
    </comment>
    <comment ref="I60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Insert price of shea butter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Insert ounces of olive oil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Insert price olive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Insert ounces of essential oils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Insert price of oils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</text>
    </comment>
    <comment ref="G63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Insert the number of lip balm containers purchased</t>
        </r>
      </text>
    </comment>
    <comment ref="I63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Insert price of essential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4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Insert the amount of labor you used to make lip balm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Insert price of labor per hour</t>
        </r>
      </text>
    </comment>
    <comment ref="G65" authorId="2" shapeId="0" xr:uid="{00000000-0006-0000-0000-000043000000}">
      <text>
        <r>
          <rPr>
            <b/>
            <sz val="9"/>
            <color indexed="81"/>
            <rFont val="Tahoma"/>
            <family val="2"/>
          </rPr>
          <t>Insert the amount of water used to make lip balm</t>
        </r>
      </text>
    </comment>
    <comment ref="I65" authorId="2" shapeId="0" xr:uid="{00000000-0006-0000-0000-000044000000}">
      <text>
        <r>
          <rPr>
            <b/>
            <sz val="9"/>
            <color indexed="81"/>
            <rFont val="Tahoma"/>
            <family val="2"/>
          </rPr>
          <t>Insert price of water per gallon</t>
        </r>
      </text>
    </comment>
    <comment ref="K66" authorId="1" shapeId="0" xr:uid="{00000000-0006-0000-0000-000045000000}">
      <text>
        <r>
          <rPr>
            <b/>
            <sz val="9"/>
            <color indexed="81"/>
            <rFont val="Tahoma"/>
            <family val="2"/>
          </rPr>
          <t>Put the cost of any ingredients to make the lotion bar not included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3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If number are not provided, example total numbers will be used as default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Insert the number of bottles you produced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C77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Insert the number of lotion bars you produced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Insert the number of lip balms you produced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Insert interest rate charged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5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Insert interest rate charged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5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Insert the price you would like to charge for an 8 oz bottle of honey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Insert the price you would like to charge for lip balms
</t>
        </r>
      </text>
    </comment>
    <comment ref="H89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Insert the price you would like to charge for an 8oz bottle of honey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D90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Insert annual cost of insurance
</t>
        </r>
      </text>
    </comment>
    <comment ref="H90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Insert the price you would like to charge for lotion bars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 xml:space="preserve">Insert the amount you charge for one bottle of honey </t>
        </r>
      </text>
    </comment>
    <comment ref="D98" authorId="0" shapeId="0" xr:uid="{00000000-0006-0000-0000-000052000000}">
      <text>
        <r>
          <rPr>
            <b/>
            <sz val="9"/>
            <color rgb="FF000000"/>
            <rFont val="Tahoma"/>
            <family val="2"/>
          </rPr>
          <t>Insert the number of bottles of honey sold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99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Insert the amount you charged per lotion bar</t>
        </r>
        <r>
          <rPr>
            <sz val="12"/>
            <color indexed="81"/>
            <rFont val="Calibri"/>
            <family val="2"/>
            <scheme val="minor"/>
          </rPr>
          <t xml:space="preserve"> </t>
        </r>
      </text>
    </comment>
    <comment ref="D99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 xml:space="preserve">Insert the number of lotion bars sold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0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 xml:space="preserve">Insert the amount you charged per lip balm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0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Insert the number of lip balms sold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Lucas, Camryn</author>
    <author>CBir</author>
    <author>Bir, Courtney</author>
  </authors>
  <commentList>
    <comment ref="K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Insert total number from AGEC-2002 in cell G44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Insert the number of deep frames you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Pounds of honey produced based on number of deep frames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Insert total lbs. of honey harvested from deep frames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Insert the number of medium frames you harvested 
</t>
        </r>
      </text>
    </comment>
    <comment ref="G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Pounds of honey produced based on number of medium frames harvested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Insert total lbs. of honey harvested from medium frames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Insert the number of shallow frames you harvested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Pounds of honey produced based on number of shallow frames harvested
</t>
        </r>
      </text>
    </comment>
    <comment ref="I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Insert total lbs. of honey harvested from shallow frames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H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Estimated wax harvested based on lbs. of honey produced</t>
        </r>
      </text>
    </comment>
    <comment ref="H14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Please provide the total amount of wax harvested in ounces. If you are unsure you can use the estimate</t>
        </r>
      </text>
    </comment>
    <comment ref="J1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If number is not provided in finished lbs. honey total, example total lbs. will be used as default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Insert amount of wax you use for lotion bars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If you receive the "insufficient wax" message you will need to use less wax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Insert amount of wax used for lip balms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Insert number of extractors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2" shapeId="0" xr:uid="{00000000-0006-0000-0100-000012000000}">
      <text>
        <r>
          <rPr>
            <b/>
            <sz val="9"/>
            <color indexed="81"/>
            <rFont val="Tahoma"/>
            <family val="2"/>
          </rPr>
          <t>Insert price per unit for extractor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 xml:space="preserve">Insert number of uncapping knives purchased
</t>
        </r>
      </text>
    </comment>
    <comment ref="I22" authorId="2" shapeId="0" xr:uid="{00000000-0006-0000-0100-000014000000}">
      <text>
        <r>
          <rPr>
            <b/>
            <sz val="9"/>
            <color indexed="81"/>
            <rFont val="Tahoma"/>
            <family val="2"/>
          </rPr>
          <t xml:space="preserve">Insert price per unit for uncapping knife </t>
        </r>
      </text>
    </comment>
    <comment ref="G23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Insert number of uncapping scratchers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3" authorId="2" shapeId="0" xr:uid="{00000000-0006-0000-0100-000016000000}">
      <text>
        <r>
          <rPr>
            <b/>
            <sz val="9"/>
            <color indexed="81"/>
            <rFont val="Tahoma"/>
            <family val="2"/>
          </rPr>
          <t>Insert price per unit for uncapping scratcher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Insert number of strainers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2" shapeId="0" xr:uid="{00000000-0006-0000-0100-000018000000}">
      <text>
        <r>
          <rPr>
            <b/>
            <sz val="9"/>
            <color indexed="81"/>
            <rFont val="Tahoma"/>
            <family val="2"/>
          </rPr>
          <t xml:space="preserve">Insert price per unit for strainer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2" shapeId="0" xr:uid="{00000000-0006-0000-0100-000019000000}">
      <text>
        <r>
          <rPr>
            <b/>
            <sz val="9"/>
            <color indexed="81"/>
            <rFont val="Tahoma"/>
            <family val="2"/>
          </rPr>
          <t xml:space="preserve">Insert number of bottling buckets purchased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2" shapeId="0" xr:uid="{00000000-0006-0000-0100-00001A000000}">
      <text>
        <r>
          <rPr>
            <b/>
            <sz val="9"/>
            <color indexed="81"/>
            <rFont val="Tahoma"/>
            <family val="2"/>
          </rPr>
          <t>Insert price per unit for bottling bucket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Insert number of other harvesting fixed cost items</t>
        </r>
      </text>
    </comment>
    <comment ref="I26" authorId="2" shapeId="0" xr:uid="{00000000-0006-0000-0100-00001C000000}">
      <text>
        <r>
          <rPr>
            <b/>
            <sz val="9"/>
            <color indexed="81"/>
            <rFont val="Tahoma"/>
            <family val="2"/>
          </rPr>
          <t>Insert price per unit for other equipment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Insert number of boilers purchased</t>
        </r>
      </text>
    </comment>
    <comment ref="I29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Insert price per boiler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Insert the number of silicone molds purchased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0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Insert price per mold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2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If number start up costs are not provided, example start up cost will be used.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Insert hours worked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6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Insert the cost of labor per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Insert amount of labor used to maintain hives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Insert the cost of labor per hour</t>
        </r>
      </text>
    </comment>
    <comment ref="G38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Number of containers purchased</t>
        </r>
      </text>
    </comment>
    <comment ref="I38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 xml:space="preserve">Insert the price per container
</t>
        </r>
      </text>
    </comment>
    <comment ref="G39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 xml:space="preserve">Insert gallons of water used </t>
        </r>
      </text>
    </comment>
    <comment ref="I39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Insert price of water per gallon in your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5" authorId="2" shapeId="0" xr:uid="{00000000-0006-0000-0100-00002A000000}">
      <text>
        <r>
          <rPr>
            <b/>
            <sz val="9"/>
            <color indexed="81"/>
            <rFont val="Tahoma"/>
            <family val="2"/>
          </rPr>
          <t>Insert ounces of wax used</t>
        </r>
      </text>
    </comment>
    <comment ref="I4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Insert price of wax per oz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6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 xml:space="preserve">Insert ounces of shea butter used </t>
        </r>
      </text>
    </comment>
    <comment ref="I46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Insert price of shea butter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Insert ounces of olive oil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Insert price olive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8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Insert ounces of essential oils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8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Insert price of oils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</text>
    </comment>
    <comment ref="G49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Insert the amount of labor you used to make lotion bars</t>
        </r>
        <r>
          <rPr>
            <b/>
            <sz val="12"/>
            <color indexed="81"/>
            <rFont val="Calibri"/>
            <family val="2"/>
            <scheme val="minor"/>
          </rPr>
          <t xml:space="preserve"> 
</t>
        </r>
      </text>
    </comment>
    <comment ref="I49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Insert cost of labor per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Insert the amount of water you used to make lotion bar</t>
        </r>
        <r>
          <rPr>
            <b/>
            <sz val="12"/>
            <color indexed="81"/>
            <rFont val="Calibri"/>
            <family val="2"/>
            <scheme val="minor"/>
          </rPr>
          <t xml:space="preserve">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Insert price of water per gallon in your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1" shapeId="0" xr:uid="{00000000-0006-0000-0100-000036000000}">
      <text>
        <r>
          <rPr>
            <b/>
            <sz val="9"/>
            <color indexed="81"/>
            <rFont val="Tahoma"/>
            <family val="2"/>
          </rPr>
          <t>Put the cost of any ingredients to make the lotion bar not included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9" authorId="2" shapeId="0" xr:uid="{00000000-0006-0000-0100-000037000000}">
      <text>
        <r>
          <rPr>
            <b/>
            <sz val="9"/>
            <color indexed="81"/>
            <rFont val="Tahoma"/>
            <family val="2"/>
          </rPr>
          <t>Insert oz of wax used</t>
        </r>
      </text>
    </comment>
    <comment ref="I59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Insert price of wax per oz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 xml:space="preserve">Insert ounces of shea butter used </t>
        </r>
      </text>
    </comment>
    <comment ref="I60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Insert price of shea butter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Insert ounces of olive oil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1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Insert price olive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Insert ounces of essential oils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Insert price of oils per ounce</t>
        </r>
        <r>
          <rPr>
            <sz val="12"/>
            <color indexed="81"/>
            <rFont val="Calibri"/>
            <family val="2"/>
            <scheme val="minor"/>
          </rPr>
          <t xml:space="preserve">
</t>
        </r>
      </text>
    </comment>
    <comment ref="G63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Insert the number of lip balm containers purchased</t>
        </r>
      </text>
    </comment>
    <comment ref="I63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Insert price of essential oil per ounce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4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Insert the amount of labor you used to make lip balm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Insert price of labor per hour</t>
        </r>
      </text>
    </comment>
    <comment ref="G65" authorId="2" shapeId="0" xr:uid="{00000000-0006-0000-0100-000043000000}">
      <text>
        <r>
          <rPr>
            <b/>
            <sz val="9"/>
            <color indexed="81"/>
            <rFont val="Tahoma"/>
            <family val="2"/>
          </rPr>
          <t>Insert the amount of water used to make lip balm</t>
        </r>
      </text>
    </comment>
    <comment ref="I65" authorId="2" shapeId="0" xr:uid="{00000000-0006-0000-0100-000044000000}">
      <text>
        <r>
          <rPr>
            <b/>
            <sz val="9"/>
            <color indexed="81"/>
            <rFont val="Tahoma"/>
            <family val="2"/>
          </rPr>
          <t>Insert price of water per gallon</t>
        </r>
      </text>
    </comment>
    <comment ref="K66" authorId="1" shapeId="0" xr:uid="{00000000-0006-0000-0100-000045000000}">
      <text>
        <r>
          <rPr>
            <b/>
            <sz val="9"/>
            <color indexed="81"/>
            <rFont val="Tahoma"/>
            <family val="2"/>
          </rPr>
          <t>Put the cost of any ingredients to make the lotion bar not included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3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If number are not provided, example total numbers will be used as default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Insert the number of bottles you produced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C77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 xml:space="preserve">Insert the number of lotion bars you produced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 xml:space="preserve">Insert the number of lip balms you produced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Insert interest rate charged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5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Insert interest rate charged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5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 xml:space="preserve">Insert the price you would like to charge for an 8 oz bottle of honey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6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 xml:space="preserve">Insert the price you would like to charge for lip balms
</t>
        </r>
      </text>
    </comment>
    <comment ref="H89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Insert the price you would like to charge for an 8oz bottle of honey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D90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 xml:space="preserve">Insert annual cost of insurance
</t>
        </r>
      </text>
    </comment>
    <comment ref="H90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Insert the price you would like to charge for lotion bars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 xml:space="preserve">Insert the amount you charge for one bottle of honey </t>
        </r>
      </text>
    </comment>
    <comment ref="D98" authorId="0" shapeId="0" xr:uid="{00000000-0006-0000-0100-000052000000}">
      <text>
        <r>
          <rPr>
            <b/>
            <sz val="9"/>
            <color rgb="FF000000"/>
            <rFont val="Tahoma"/>
            <family val="2"/>
          </rPr>
          <t>Insert the number of bottles of honey sold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99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Insert the amount you charged per lotion bar</t>
        </r>
        <r>
          <rPr>
            <sz val="12"/>
            <color indexed="81"/>
            <rFont val="Calibri"/>
            <family val="2"/>
            <scheme val="minor"/>
          </rPr>
          <t xml:space="preserve"> </t>
        </r>
      </text>
    </comment>
    <comment ref="D99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 xml:space="preserve">Insert the number of lotion bars sold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0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 xml:space="preserve">Insert the amount you charged per lip balm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0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Insert the number of lip balms sold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<sst xmlns="http://schemas.openxmlformats.org/spreadsheetml/2006/main" count="538" uniqueCount="130">
  <si>
    <t xml:space="preserve">Extractor </t>
  </si>
  <si>
    <t>Uncapping Knife</t>
  </si>
  <si>
    <t xml:space="preserve">Uncapping Scratcher </t>
  </si>
  <si>
    <t xml:space="preserve">Strainer </t>
  </si>
  <si>
    <t xml:space="preserve">Bottling Bucket </t>
  </si>
  <si>
    <t xml:space="preserve">Total Cost </t>
  </si>
  <si>
    <t xml:space="preserve">Honey </t>
  </si>
  <si>
    <t xml:space="preserve">Revenue per unit </t>
  </si>
  <si>
    <t xml:space="preserve">Total Revenue </t>
  </si>
  <si>
    <t xml:space="preserve">Total Fixed Cost </t>
  </si>
  <si>
    <t>Total Variable Cost</t>
  </si>
  <si>
    <t xml:space="preserve">Langstroth deep frame </t>
  </si>
  <si>
    <t>$/unit</t>
  </si>
  <si>
    <t>hours</t>
  </si>
  <si>
    <t>$/gal</t>
  </si>
  <si>
    <t xml:space="preserve">gallons </t>
  </si>
  <si>
    <t xml:space="preserve">8 oz Containers </t>
  </si>
  <si>
    <t xml:space="preserve">Water </t>
  </si>
  <si>
    <t xml:space="preserve">Langstroth medium frame </t>
  </si>
  <si>
    <t xml:space="preserve">Langstroth shallow frame </t>
  </si>
  <si>
    <t>Frames Harvested</t>
  </si>
  <si>
    <t>Wax</t>
  </si>
  <si>
    <t>Lotion Bar</t>
  </si>
  <si>
    <t>units</t>
  </si>
  <si>
    <t xml:space="preserve">Total </t>
  </si>
  <si>
    <t>Double Boiler</t>
  </si>
  <si>
    <t xml:space="preserve">Lip Balm Container </t>
  </si>
  <si>
    <t xml:space="preserve">Essential Oils </t>
  </si>
  <si>
    <t>$/oz</t>
  </si>
  <si>
    <t>oz</t>
  </si>
  <si>
    <t>unit</t>
  </si>
  <si>
    <t xml:space="preserve">Lip Balm </t>
  </si>
  <si>
    <r>
      <rPr>
        <sz val="11"/>
        <color theme="1"/>
        <rFont val="Calibri"/>
        <family val="2"/>
        <scheme val="minor"/>
      </rPr>
      <t>$/unit</t>
    </r>
    <r>
      <rPr>
        <b/>
        <sz val="11"/>
        <color theme="1"/>
        <rFont val="Calibri"/>
        <family val="2"/>
        <scheme val="minor"/>
      </rPr>
      <t xml:space="preserve"> </t>
    </r>
  </si>
  <si>
    <t>8oz bottles</t>
  </si>
  <si>
    <t>4oz container</t>
  </si>
  <si>
    <t xml:space="preserve">.15 oz container </t>
  </si>
  <si>
    <t>Lotion bar</t>
  </si>
  <si>
    <t>Interest rate</t>
  </si>
  <si>
    <t>Total oz Wax</t>
  </si>
  <si>
    <t xml:space="preserve">Silicone Molds </t>
  </si>
  <si>
    <t xml:space="preserve">$/unit </t>
  </si>
  <si>
    <t>Shea Butter</t>
  </si>
  <si>
    <t>Olive Oil</t>
  </si>
  <si>
    <t xml:space="preserve">Bars produced </t>
  </si>
  <si>
    <t>Coconut oil</t>
  </si>
  <si>
    <t>Profit Calculation</t>
  </si>
  <si>
    <t>Lotion Bar variable cost</t>
  </si>
  <si>
    <t xml:space="preserve"> Units Sold</t>
  </si>
  <si>
    <t>labor</t>
  </si>
  <si>
    <t>water</t>
  </si>
  <si>
    <t>$/mold</t>
  </si>
  <si>
    <t>gallons</t>
  </si>
  <si>
    <t xml:space="preserve">Cost per bar </t>
  </si>
  <si>
    <t>Repairs</t>
  </si>
  <si>
    <t>Interest</t>
  </si>
  <si>
    <t>Taxes</t>
  </si>
  <si>
    <t xml:space="preserve">Honey Selling Price </t>
  </si>
  <si>
    <t xml:space="preserve">Lip Balm Selling Price </t>
  </si>
  <si>
    <t xml:space="preserve">Calculated Lotion Bar price </t>
  </si>
  <si>
    <t xml:space="preserve">Calculated Lip Balm price </t>
  </si>
  <si>
    <t xml:space="preserve">Lotion Bar Selling Price </t>
  </si>
  <si>
    <t xml:space="preserve">Insurance </t>
  </si>
  <si>
    <t xml:space="preserve">Harvesting Labor </t>
  </si>
  <si>
    <t>Example Values</t>
  </si>
  <si>
    <t>Your Values</t>
  </si>
  <si>
    <t xml:space="preserve">Your Values </t>
  </si>
  <si>
    <t xml:space="preserve">containers </t>
  </si>
  <si>
    <t xml:space="preserve">Production Fixed Costs </t>
  </si>
  <si>
    <t xml:space="preserve">Multi-Products Fixed Costs </t>
  </si>
  <si>
    <t xml:space="preserve">Multi-Products Variable Costs </t>
  </si>
  <si>
    <t>Wax allocated to Lip Balm</t>
  </si>
  <si>
    <t>Enterprise budget for Eight Ounce Multi-Product Honey Production</t>
  </si>
  <si>
    <t xml:space="preserve">Example Total </t>
  </si>
  <si>
    <t>Example</t>
  </si>
  <si>
    <t xml:space="preserve">Example Break-Even Price Tables </t>
  </si>
  <si>
    <t xml:space="preserve">Your Break-Even Price Tables </t>
  </si>
  <si>
    <t>Honey Prices</t>
  </si>
  <si>
    <t xml:space="preserve">    Lotion Bar Prices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</si>
  <si>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 Lip Balm Prices</t>
    </r>
  </si>
  <si>
    <t xml:space="preserve">       Lip Balm Prices</t>
  </si>
  <si>
    <t xml:space="preserve"> </t>
  </si>
  <si>
    <t>8oz Honey Prices</t>
  </si>
  <si>
    <t>Annual Total Cost</t>
  </si>
  <si>
    <t xml:space="preserve">Breakeven Prices </t>
  </si>
  <si>
    <t>Example number</t>
  </si>
  <si>
    <t>Your number</t>
  </si>
  <si>
    <t>Profit with total fixed costs</t>
  </si>
  <si>
    <t>Your Number</t>
  </si>
  <si>
    <t xml:space="preserve">Example Fixed Cost </t>
  </si>
  <si>
    <t xml:space="preserve">Example Number </t>
  </si>
  <si>
    <t xml:space="preserve">Your Number </t>
  </si>
  <si>
    <t xml:space="preserve">Your Fixed Cost </t>
  </si>
  <si>
    <t xml:space="preserve">Example Variable Cost </t>
  </si>
  <si>
    <t xml:space="preserve">Your Variable Cost </t>
  </si>
  <si>
    <t>Your price per unit</t>
  </si>
  <si>
    <t>Your total cost</t>
  </si>
  <si>
    <t>Other</t>
  </si>
  <si>
    <t>Annual Ownership Cost (AOC)</t>
  </si>
  <si>
    <t xml:space="preserve">Your Total Variable Cost </t>
  </si>
  <si>
    <t xml:space="preserve">Example Total Variable Cost </t>
  </si>
  <si>
    <t>Profit accounting for AOC</t>
  </si>
  <si>
    <t>Lip Balm variable cost</t>
  </si>
  <si>
    <t xml:space="preserve">Lip Balms produced </t>
  </si>
  <si>
    <t>Cost per lip balm</t>
  </si>
  <si>
    <t>Start up costs: enter number from cell G44 on Fact Sheet AGEC-2002</t>
  </si>
  <si>
    <t xml:space="preserve">Honey Production Variable Costs </t>
  </si>
  <si>
    <t xml:space="preserve"> Lotion Bars Produced</t>
  </si>
  <si>
    <t>Lip Balms Produced</t>
  </si>
  <si>
    <t>8 oz bottles of Honey Produced</t>
  </si>
  <si>
    <t>Lotion Bars Produced</t>
  </si>
  <si>
    <t>Example total oz wax</t>
  </si>
  <si>
    <t>Estimated total wax</t>
  </si>
  <si>
    <t>Example prices</t>
  </si>
  <si>
    <t>Wax allocated to Lotion Bars</t>
  </si>
  <si>
    <t>Other costs</t>
  </si>
  <si>
    <t xml:space="preserve">Example Lotion Bar Breakeven </t>
  </si>
  <si>
    <t>Example Lip Balm Breakeven</t>
  </si>
  <si>
    <t xml:space="preserve">Your Lotion Bar Breakeven </t>
  </si>
  <si>
    <t xml:space="preserve">Your Lip Balm Breakeven </t>
  </si>
  <si>
    <t>Depreciation</t>
  </si>
  <si>
    <t>lbs. Honey Harvested</t>
  </si>
  <si>
    <t>Projected  lbs. harvested</t>
  </si>
  <si>
    <t>Example total lbs. honey</t>
  </si>
  <si>
    <t xml:space="preserve">Total lbs. honey </t>
  </si>
  <si>
    <t>$/hr.</t>
  </si>
  <si>
    <t>Management Labor</t>
  </si>
  <si>
    <t>1 lb. bottles</t>
  </si>
  <si>
    <t>1 lb. Honey Prices</t>
  </si>
  <si>
    <t xml:space="preserve">1 lb. Containers </t>
  </si>
  <si>
    <t>1 lb. bottles of Honey 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</si>
</sst>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6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2" fontId="0" fillId="0" borderId="0" xfId="0" applyNumberFormat="1"/>
    <xf numFmtId="0" fontId="14" fillId="0" borderId="0" xfId="0" applyFont="1"/>
    <xf numFmtId="0" fontId="13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/>
    </xf>
    <xf numFmtId="44" fontId="1" fillId="0" borderId="0" xfId="2" applyFont="1" applyFill="1" applyBorder="1" applyAlignment="1" applyProtection="1">
      <alignment horizontal="center"/>
    </xf>
    <xf numFmtId="44" fontId="1" fillId="0" borderId="0" xfId="2" applyFont="1" applyFill="1" applyAlignment="1" applyProtection="1">
      <alignment horizontal="center"/>
    </xf>
    <xf numFmtId="0" fontId="1" fillId="3" borderId="0" xfId="0" applyFont="1" applyFill="1"/>
    <xf numFmtId="44" fontId="0" fillId="0" borderId="0" xfId="2" applyFont="1" applyFill="1" applyProtection="1"/>
    <xf numFmtId="0" fontId="0" fillId="0" borderId="0" xfId="0" applyAlignment="1">
      <alignment horizontal="left"/>
    </xf>
    <xf numFmtId="44" fontId="1" fillId="2" borderId="0" xfId="2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3" applyFill="1" applyAlignment="1" applyProtection="1">
      <alignment horizontal="center"/>
    </xf>
    <xf numFmtId="2" fontId="0" fillId="0" borderId="0" xfId="0" applyNumberFormat="1" applyAlignment="1">
      <alignment horizontal="center"/>
    </xf>
    <xf numFmtId="0" fontId="13" fillId="2" borderId="0" xfId="0" applyFont="1" applyFill="1"/>
    <xf numFmtId="0" fontId="15" fillId="2" borderId="0" xfId="0" applyFont="1" applyFill="1"/>
    <xf numFmtId="0" fontId="16" fillId="2" borderId="0" xfId="0" applyFont="1" applyFill="1"/>
    <xf numFmtId="2" fontId="13" fillId="2" borderId="0" xfId="0" applyNumberFormat="1" applyFont="1" applyFill="1"/>
    <xf numFmtId="0" fontId="13" fillId="2" borderId="0" xfId="0" applyFont="1" applyFill="1" applyAlignment="1">
      <alignment textRotation="90"/>
    </xf>
    <xf numFmtId="0" fontId="14" fillId="2" borderId="0" xfId="0" applyFont="1" applyFill="1"/>
    <xf numFmtId="0" fontId="6" fillId="0" borderId="0" xfId="0" applyFont="1"/>
    <xf numFmtId="0" fontId="5" fillId="0" borderId="0" xfId="0" applyFont="1"/>
    <xf numFmtId="0" fontId="12" fillId="0" borderId="0" xfId="0" applyFont="1" applyAlignment="1">
      <alignment horizontal="center"/>
    </xf>
    <xf numFmtId="0" fontId="0" fillId="4" borderId="0" xfId="0" applyFill="1"/>
    <xf numFmtId="0" fontId="13" fillId="4" borderId="0" xfId="0" applyFont="1" applyFill="1"/>
    <xf numFmtId="1" fontId="0" fillId="0" borderId="0" xfId="0" applyNumberFormat="1" applyAlignment="1">
      <alignment horizontal="right"/>
    </xf>
    <xf numFmtId="0" fontId="13" fillId="0" borderId="0" xfId="0" applyFont="1" applyAlignment="1">
      <alignment textRotation="90"/>
    </xf>
    <xf numFmtId="1" fontId="1" fillId="0" borderId="0" xfId="0" applyNumberFormat="1" applyFont="1" applyAlignment="1">
      <alignment horizontal="center"/>
    </xf>
    <xf numFmtId="44" fontId="0" fillId="2" borderId="0" xfId="2" applyFont="1" applyFill="1" applyProtection="1"/>
    <xf numFmtId="1" fontId="0" fillId="0" borderId="0" xfId="0" applyNumberFormat="1" applyAlignment="1">
      <alignment horizontal="center"/>
    </xf>
    <xf numFmtId="164" fontId="1" fillId="0" borderId="0" xfId="2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13" fillId="3" borderId="0" xfId="0" applyFont="1" applyFill="1"/>
    <xf numFmtId="2" fontId="1" fillId="4" borderId="0" xfId="0" applyNumberFormat="1" applyFont="1" applyFill="1" applyAlignment="1">
      <alignment horizontal="center"/>
    </xf>
    <xf numFmtId="44" fontId="1" fillId="0" borderId="0" xfId="2" applyFont="1" applyFill="1" applyAlignment="1" applyProtection="1">
      <alignment horizontal="right"/>
    </xf>
    <xf numFmtId="44" fontId="1" fillId="0" borderId="0" xfId="2" applyFont="1" applyFill="1" applyAlignment="1" applyProtection="1">
      <alignment horizontal="left"/>
    </xf>
    <xf numFmtId="164" fontId="1" fillId="0" borderId="0" xfId="2" applyNumberFormat="1" applyFont="1" applyFill="1" applyBorder="1" applyAlignment="1" applyProtection="1">
      <alignment horizontal="left"/>
    </xf>
    <xf numFmtId="164" fontId="1" fillId="0" borderId="0" xfId="2" applyNumberFormat="1" applyFont="1" applyFill="1" applyAlignment="1" applyProtection="1">
      <alignment horizontal="left"/>
    </xf>
    <xf numFmtId="44" fontId="1" fillId="0" borderId="0" xfId="2" applyFont="1" applyFill="1" applyBorder="1" applyAlignment="1" applyProtection="1">
      <alignment horizontal="left"/>
    </xf>
    <xf numFmtId="164" fontId="1" fillId="0" borderId="0" xfId="2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164" fontId="1" fillId="0" borderId="0" xfId="2" applyNumberFormat="1" applyFont="1" applyFill="1" applyBorder="1" applyAlignment="1" applyProtection="1">
      <alignment horizontal="right"/>
    </xf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9" fontId="0" fillId="0" borderId="1" xfId="1" applyFont="1" applyFill="1" applyBorder="1" applyAlignment="1" applyProtection="1">
      <alignment horizontal="left"/>
      <protection locked="0"/>
    </xf>
    <xf numFmtId="164" fontId="0" fillId="0" borderId="0" xfId="2" applyNumberFormat="1" applyFont="1" applyFill="1" applyAlignment="1" applyProtection="1">
      <alignment horizontal="left"/>
    </xf>
    <xf numFmtId="44" fontId="0" fillId="0" borderId="0" xfId="2" applyFont="1" applyFill="1" applyAlignment="1" applyProtection="1">
      <alignment horizontal="left"/>
    </xf>
    <xf numFmtId="1" fontId="1" fillId="0" borderId="1" xfId="0" applyNumberFormat="1" applyFont="1" applyBorder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2" applyNumberFormat="1" applyFont="1" applyFill="1" applyBorder="1" applyAlignment="1" applyProtection="1">
      <alignment horizontal="right"/>
    </xf>
    <xf numFmtId="164" fontId="1" fillId="0" borderId="0" xfId="0" applyNumberFormat="1" applyFont="1" applyAlignment="1">
      <alignment horizontal="right" indent="1"/>
    </xf>
    <xf numFmtId="164" fontId="1" fillId="0" borderId="0" xfId="2" applyNumberFormat="1" applyFont="1" applyFill="1" applyAlignment="1" applyProtection="1">
      <alignment horizontal="right" inden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right" indent="1"/>
    </xf>
    <xf numFmtId="0" fontId="13" fillId="2" borderId="0" xfId="0" applyFont="1" applyFill="1" applyAlignment="1">
      <alignment horizontal="center"/>
    </xf>
    <xf numFmtId="0" fontId="1" fillId="6" borderId="0" xfId="0" applyFont="1" applyFill="1" applyAlignment="1">
      <alignment textRotation="90"/>
    </xf>
    <xf numFmtId="2" fontId="0" fillId="4" borderId="0" xfId="0" applyNumberFormat="1" applyFill="1" applyAlignment="1">
      <alignment horizontal="center"/>
    </xf>
    <xf numFmtId="0" fontId="13" fillId="6" borderId="0" xfId="0" applyFont="1" applyFill="1" applyAlignment="1">
      <alignment textRotation="9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9" fontId="0" fillId="0" borderId="0" xfId="1" applyFont="1" applyAlignment="1" applyProtection="1">
      <alignment horizontal="left"/>
    </xf>
    <xf numFmtId="165" fontId="0" fillId="0" borderId="2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right" indent="1"/>
    </xf>
    <xf numFmtId="0" fontId="1" fillId="4" borderId="0" xfId="0" applyFont="1" applyFill="1" applyAlignment="1">
      <alignment horizontal="center"/>
    </xf>
    <xf numFmtId="164" fontId="0" fillId="0" borderId="0" xfId="2" applyNumberFormat="1" applyFont="1" applyFill="1" applyAlignment="1" applyProtection="1">
      <alignment horizontal="center"/>
    </xf>
    <xf numFmtId="164" fontId="0" fillId="0" borderId="1" xfId="2" applyNumberFormat="1" applyFont="1" applyFill="1" applyBorder="1" applyAlignment="1" applyProtection="1">
      <alignment horizontal="right"/>
      <protection locked="0"/>
    </xf>
    <xf numFmtId="2" fontId="15" fillId="2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2" fontId="13" fillId="2" borderId="0" xfId="0" applyNumberFormat="1" applyFont="1" applyFill="1" applyAlignment="1">
      <alignment horizontal="center"/>
    </xf>
    <xf numFmtId="164" fontId="1" fillId="0" borderId="1" xfId="2" applyNumberFormat="1" applyFont="1" applyFill="1" applyBorder="1" applyAlignment="1" applyProtection="1">
      <alignment horizontal="left"/>
      <protection locked="0"/>
    </xf>
    <xf numFmtId="164" fontId="1" fillId="0" borderId="2" xfId="2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center" textRotation="90"/>
    </xf>
    <xf numFmtId="0" fontId="13" fillId="4" borderId="0" xfId="0" applyFont="1" applyFill="1" applyAlignment="1">
      <alignment horizontal="center" textRotation="90"/>
    </xf>
    <xf numFmtId="0" fontId="1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textRotation="90"/>
    </xf>
    <xf numFmtId="0" fontId="15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7" fillId="0" borderId="0" xfId="3" applyFill="1" applyAlignment="1" applyProtection="1">
      <alignment horizontal="right"/>
    </xf>
    <xf numFmtId="0" fontId="5" fillId="0" borderId="0" xfId="0" applyFont="1"/>
    <xf numFmtId="0" fontId="13" fillId="5" borderId="0" xfId="0" applyFont="1" applyFill="1" applyAlignment="1">
      <alignment horizontal="center"/>
    </xf>
    <xf numFmtId="164" fontId="1" fillId="0" borderId="0" xfId="2" applyNumberFormat="1" applyFont="1" applyFill="1" applyAlignment="1" applyProtection="1">
      <alignment horizontal="left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6D32"/>
      <color rgb="FFF05510"/>
      <color rgb="FFF8CBAD"/>
      <color rgb="FFFF00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tension.okstate.edu/programs/honeybees/site-files/documents/bee-budget-in-excel-090221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extension.okstate.edu/programs/honeybees/site-files/documents/bee-budget-in-excel-0902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5"/>
  <sheetViews>
    <sheetView showGridLines="0" tabSelected="1" zoomScale="71" zoomScaleNormal="71" workbookViewId="0">
      <selection activeCell="H14" sqref="H14"/>
    </sheetView>
  </sheetViews>
  <sheetFormatPr defaultColWidth="8.81640625" defaultRowHeight="14.5" x14ac:dyDescent="0.35"/>
  <cols>
    <col min="1" max="1" width="37.453125" bestFit="1" customWidth="1"/>
    <col min="2" max="2" width="17" bestFit="1" customWidth="1"/>
    <col min="3" max="3" width="16.81640625" bestFit="1" customWidth="1"/>
    <col min="4" max="4" width="19.453125" bestFit="1" customWidth="1"/>
    <col min="5" max="5" width="15.453125" bestFit="1" customWidth="1"/>
    <col min="6" max="6" width="20.1796875" bestFit="1" customWidth="1"/>
    <col min="7" max="7" width="17.54296875" customWidth="1"/>
    <col min="8" max="8" width="12.7265625" customWidth="1"/>
    <col min="9" max="9" width="22.6328125" customWidth="1"/>
    <col min="10" max="10" width="11.453125" customWidth="1"/>
    <col min="11" max="11" width="11.81640625" customWidth="1"/>
    <col min="12" max="12" width="21.453125" customWidth="1"/>
    <col min="13" max="13" width="20.7265625" customWidth="1"/>
    <col min="14" max="14" width="6.1796875" bestFit="1" customWidth="1"/>
    <col min="15" max="15" width="9.1796875" bestFit="1" customWidth="1"/>
    <col min="16" max="16" width="10" customWidth="1"/>
    <col min="17" max="19" width="9.54296875" customWidth="1"/>
    <col min="20" max="20" width="8.81640625" customWidth="1"/>
    <col min="21" max="21" width="8.453125" bestFit="1" customWidth="1"/>
    <col min="22" max="22" width="9.1796875" bestFit="1" customWidth="1"/>
    <col min="23" max="23" width="7.26953125" customWidth="1"/>
    <col min="24" max="24" width="6.81640625" bestFit="1" customWidth="1"/>
    <col min="25" max="25" width="8" customWidth="1"/>
    <col min="26" max="26" width="6" customWidth="1"/>
    <col min="27" max="27" width="6.1796875" bestFit="1" customWidth="1"/>
    <col min="28" max="31" width="7.81640625" customWidth="1"/>
    <col min="32" max="36" width="9" bestFit="1" customWidth="1"/>
  </cols>
  <sheetData>
    <row r="1" spans="1:13" x14ac:dyDescent="0.3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x14ac:dyDescent="0.35">
      <c r="A2" s="9"/>
      <c r="B2" s="9"/>
      <c r="C2" s="9"/>
      <c r="D2" s="9"/>
      <c r="E2" s="9"/>
      <c r="J2" s="85" t="s">
        <v>89</v>
      </c>
      <c r="K2" s="85"/>
      <c r="L2" s="23" t="s">
        <v>90</v>
      </c>
    </row>
    <row r="3" spans="1:13" x14ac:dyDescent="0.35">
      <c r="A3" s="98" t="s">
        <v>104</v>
      </c>
      <c r="B3" s="98"/>
      <c r="C3" s="98"/>
      <c r="D3" s="98"/>
      <c r="E3" s="98"/>
      <c r="F3" s="98"/>
      <c r="G3" s="98"/>
      <c r="H3" s="98"/>
      <c r="I3" s="98"/>
      <c r="J3" s="98"/>
      <c r="K3" s="25">
        <v>684.2</v>
      </c>
      <c r="L3" s="4"/>
    </row>
    <row r="4" spans="1:13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35">
      <c r="A5" s="10"/>
      <c r="B5" s="89" t="s">
        <v>63</v>
      </c>
      <c r="C5" s="89"/>
      <c r="D5" s="89"/>
      <c r="E5" s="65"/>
      <c r="F5" s="89" t="s">
        <v>65</v>
      </c>
      <c r="G5" s="89"/>
      <c r="H5" s="89"/>
      <c r="I5" s="89"/>
      <c r="J5" s="10"/>
      <c r="K5" s="10"/>
      <c r="L5" s="10"/>
      <c r="M5" s="9"/>
    </row>
    <row r="6" spans="1:13" x14ac:dyDescent="0.35">
      <c r="A6" s="9"/>
      <c r="B6" s="11" t="s">
        <v>20</v>
      </c>
      <c r="D6" s="11" t="s">
        <v>120</v>
      </c>
      <c r="F6" s="11" t="s">
        <v>20</v>
      </c>
      <c r="G6" t="s">
        <v>121</v>
      </c>
      <c r="I6" s="97" t="s">
        <v>120</v>
      </c>
      <c r="J6" s="97"/>
      <c r="K6" s="20"/>
    </row>
    <row r="7" spans="1:13" x14ac:dyDescent="0.35">
      <c r="A7" t="s">
        <v>11</v>
      </c>
      <c r="B7" s="11">
        <v>0</v>
      </c>
      <c r="D7" s="12">
        <f>B7*6</f>
        <v>0</v>
      </c>
      <c r="E7" s="12"/>
      <c r="F7" s="6"/>
      <c r="G7" s="11">
        <f>F7*6</f>
        <v>0</v>
      </c>
      <c r="H7" s="11"/>
      <c r="I7" s="6"/>
      <c r="J7" s="12"/>
      <c r="K7" s="11"/>
    </row>
    <row r="8" spans="1:13" x14ac:dyDescent="0.35">
      <c r="A8" t="s">
        <v>18</v>
      </c>
      <c r="B8" s="11">
        <v>10</v>
      </c>
      <c r="D8" s="12">
        <f>B8*4</f>
        <v>40</v>
      </c>
      <c r="E8" s="12"/>
      <c r="F8" s="7"/>
      <c r="G8" s="11">
        <f>F8*4</f>
        <v>0</v>
      </c>
      <c r="H8" s="11"/>
      <c r="I8" s="6"/>
      <c r="J8" s="12"/>
      <c r="K8" s="11"/>
    </row>
    <row r="9" spans="1:13" x14ac:dyDescent="0.35">
      <c r="A9" t="s">
        <v>19</v>
      </c>
      <c r="B9" s="11">
        <v>0</v>
      </c>
      <c r="D9" s="12">
        <f>B9*3</f>
        <v>0</v>
      </c>
      <c r="E9" s="12"/>
      <c r="F9" s="7"/>
      <c r="G9" s="11">
        <f>F9*3</f>
        <v>0</v>
      </c>
      <c r="H9" s="11"/>
      <c r="I9" s="6"/>
      <c r="J9" s="12"/>
      <c r="K9" s="11"/>
    </row>
    <row r="11" spans="1:13" x14ac:dyDescent="0.35">
      <c r="B11" s="9" t="s">
        <v>72</v>
      </c>
      <c r="C11" s="9"/>
      <c r="D11" s="20">
        <f>SUM(D7:D9)</f>
        <v>40</v>
      </c>
      <c r="F11" s="9" t="s">
        <v>24</v>
      </c>
      <c r="G11" s="20">
        <f>SUM(G7:G9)</f>
        <v>0</v>
      </c>
      <c r="H11" s="20"/>
      <c r="I11" s="20">
        <f>SUM(I7:I9)</f>
        <v>0</v>
      </c>
    </row>
    <row r="12" spans="1:13" x14ac:dyDescent="0.35">
      <c r="B12" s="9"/>
      <c r="C12" s="9"/>
      <c r="D12" s="20"/>
      <c r="F12" s="9"/>
      <c r="G12" s="9"/>
      <c r="H12" s="9"/>
      <c r="I12" s="20"/>
    </row>
    <row r="13" spans="1:13" x14ac:dyDescent="0.35">
      <c r="B13" s="85" t="s">
        <v>110</v>
      </c>
      <c r="C13" s="85"/>
      <c r="D13" s="18">
        <f>((J13*1.5)/100)*16</f>
        <v>9.6</v>
      </c>
      <c r="F13" s="85" t="s">
        <v>111</v>
      </c>
      <c r="G13" s="85"/>
      <c r="H13" s="11">
        <f>((G11*1.5)/100)*16</f>
        <v>0</v>
      </c>
      <c r="I13" s="21" t="s">
        <v>122</v>
      </c>
      <c r="J13" s="11">
        <f>D11</f>
        <v>40</v>
      </c>
      <c r="K13" s="11"/>
    </row>
    <row r="14" spans="1:13" x14ac:dyDescent="0.35">
      <c r="F14" s="85" t="s">
        <v>38</v>
      </c>
      <c r="G14" s="85"/>
      <c r="H14" s="4"/>
      <c r="I14" s="21" t="s">
        <v>123</v>
      </c>
      <c r="J14" s="13">
        <f>IF(I11=0,G11,I11)</f>
        <v>0</v>
      </c>
      <c r="K14" s="13"/>
    </row>
    <row r="15" spans="1:13" x14ac:dyDescent="0.35">
      <c r="E15" s="20"/>
      <c r="F15" s="20"/>
      <c r="I15" s="9"/>
      <c r="J15" s="13"/>
      <c r="K15" s="13"/>
      <c r="L15" s="11"/>
      <c r="M15" s="11"/>
    </row>
    <row r="16" spans="1:13" x14ac:dyDescent="0.35">
      <c r="E16" s="20"/>
      <c r="F16" s="20"/>
      <c r="G16" s="85" t="s">
        <v>113</v>
      </c>
      <c r="H16" s="85"/>
      <c r="I16" s="85"/>
      <c r="J16" s="4"/>
      <c r="K16" s="99" t="str">
        <f>IF(J17+J16&gt;H14,"Insufficient Wax","")</f>
        <v/>
      </c>
      <c r="L16" s="99"/>
      <c r="M16" s="11"/>
    </row>
    <row r="17" spans="1:24" x14ac:dyDescent="0.35">
      <c r="E17" s="20"/>
      <c r="F17" s="20"/>
      <c r="G17" s="85" t="s">
        <v>70</v>
      </c>
      <c r="H17" s="85"/>
      <c r="I17" s="85"/>
      <c r="J17" s="5"/>
      <c r="K17" s="11"/>
      <c r="L17" s="11"/>
      <c r="M17" s="11"/>
    </row>
    <row r="19" spans="1:24" ht="15.5" x14ac:dyDescent="0.35">
      <c r="A19" s="10" t="s">
        <v>67</v>
      </c>
      <c r="B19" s="89" t="s">
        <v>63</v>
      </c>
      <c r="C19" s="89"/>
      <c r="D19" s="89"/>
      <c r="E19" s="89"/>
      <c r="F19" s="89" t="s">
        <v>64</v>
      </c>
      <c r="G19" s="89"/>
      <c r="H19" s="89"/>
      <c r="I19" s="89"/>
      <c r="J19" s="89"/>
      <c r="K19" s="89"/>
      <c r="L19" s="65"/>
      <c r="N19" s="88" t="s">
        <v>74</v>
      </c>
      <c r="O19" s="88"/>
      <c r="P19" s="88"/>
      <c r="Q19" s="88"/>
      <c r="R19" s="88"/>
      <c r="S19" s="88"/>
      <c r="T19" s="88"/>
      <c r="U19" s="88"/>
      <c r="V19" s="88"/>
      <c r="W19" s="3"/>
      <c r="X19" s="3"/>
    </row>
    <row r="20" spans="1:24" x14ac:dyDescent="0.35">
      <c r="A20" s="9"/>
      <c r="B20" s="20" t="s">
        <v>84</v>
      </c>
      <c r="C20" s="9"/>
      <c r="D20" s="20" t="s">
        <v>112</v>
      </c>
      <c r="E20" s="9"/>
      <c r="G20" s="20" t="s">
        <v>85</v>
      </c>
      <c r="H20" s="20"/>
      <c r="I20" s="9" t="s">
        <v>94</v>
      </c>
      <c r="J20" s="20"/>
      <c r="K20" s="21" t="s">
        <v>95</v>
      </c>
      <c r="L20" s="13"/>
    </row>
    <row r="21" spans="1:24" x14ac:dyDescent="0.35">
      <c r="A21" t="s">
        <v>0</v>
      </c>
      <c r="B21" s="11">
        <v>1</v>
      </c>
      <c r="C21" t="s">
        <v>23</v>
      </c>
      <c r="D21" s="25">
        <v>254</v>
      </c>
      <c r="E21" t="s">
        <v>12</v>
      </c>
      <c r="G21" s="4"/>
      <c r="I21" s="43"/>
      <c r="J21" t="s">
        <v>12</v>
      </c>
      <c r="K21" s="52">
        <f t="shared" ref="K21:K26" si="0">G21*I21</f>
        <v>0</v>
      </c>
      <c r="L21" t="s">
        <v>12</v>
      </c>
    </row>
    <row r="22" spans="1:24" ht="15.5" x14ac:dyDescent="0.35">
      <c r="A22" t="s">
        <v>1</v>
      </c>
      <c r="B22" s="11">
        <v>1</v>
      </c>
      <c r="C22" t="s">
        <v>23</v>
      </c>
      <c r="D22" s="25">
        <v>75</v>
      </c>
      <c r="E22" t="s">
        <v>12</v>
      </c>
      <c r="G22" s="4"/>
      <c r="I22" s="43"/>
      <c r="J22" t="s">
        <v>12</v>
      </c>
      <c r="K22" s="52">
        <f t="shared" si="0"/>
        <v>0</v>
      </c>
      <c r="L22" t="s">
        <v>12</v>
      </c>
      <c r="N22" s="44" t="s">
        <v>80</v>
      </c>
      <c r="O22" s="91" t="s">
        <v>115</v>
      </c>
      <c r="P22" s="91"/>
      <c r="Q22" s="91"/>
      <c r="R22" s="91"/>
      <c r="S22" s="91"/>
      <c r="T22" s="91"/>
      <c r="U22" s="91"/>
      <c r="V22" s="91"/>
      <c r="W22" s="2"/>
    </row>
    <row r="23" spans="1:24" ht="15.5" x14ac:dyDescent="0.35">
      <c r="A23" t="s">
        <v>2</v>
      </c>
      <c r="B23" s="11">
        <v>1</v>
      </c>
      <c r="C23" t="s">
        <v>23</v>
      </c>
      <c r="D23" s="25">
        <v>7</v>
      </c>
      <c r="E23" t="s">
        <v>12</v>
      </c>
      <c r="G23" s="4"/>
      <c r="I23" s="43"/>
      <c r="J23" t="s">
        <v>12</v>
      </c>
      <c r="K23" s="52">
        <f t="shared" si="0"/>
        <v>0</v>
      </c>
      <c r="L23" t="s">
        <v>12</v>
      </c>
      <c r="N23" s="26"/>
      <c r="O23" s="27"/>
      <c r="P23" s="92" t="s">
        <v>81</v>
      </c>
      <c r="Q23" s="92"/>
      <c r="R23" s="92"/>
      <c r="S23" s="92"/>
      <c r="T23" s="92"/>
      <c r="U23" s="92"/>
      <c r="V23" s="92"/>
      <c r="W23" s="2"/>
    </row>
    <row r="24" spans="1:24" ht="15.5" x14ac:dyDescent="0.35">
      <c r="A24" t="s">
        <v>3</v>
      </c>
      <c r="B24" s="11">
        <v>1</v>
      </c>
      <c r="C24" t="s">
        <v>23</v>
      </c>
      <c r="D24" s="25">
        <v>34</v>
      </c>
      <c r="E24" t="s">
        <v>12</v>
      </c>
      <c r="G24" s="4"/>
      <c r="I24" s="43"/>
      <c r="J24" t="s">
        <v>12</v>
      </c>
      <c r="K24" s="52">
        <f t="shared" si="0"/>
        <v>0</v>
      </c>
      <c r="L24" t="s">
        <v>12</v>
      </c>
      <c r="N24" s="90" t="s">
        <v>79</v>
      </c>
      <c r="O24" s="28"/>
      <c r="P24" s="80">
        <f>Q24-1</f>
        <v>5</v>
      </c>
      <c r="Q24" s="80">
        <f>R24-1</f>
        <v>6</v>
      </c>
      <c r="R24" s="80">
        <f>S24-1</f>
        <v>7</v>
      </c>
      <c r="S24" s="80">
        <f>G85</f>
        <v>8</v>
      </c>
      <c r="T24" s="80">
        <f>S24+1</f>
        <v>9</v>
      </c>
      <c r="U24" s="80">
        <f>T24+1</f>
        <v>10</v>
      </c>
      <c r="V24" s="80">
        <f>U24+1</f>
        <v>11</v>
      </c>
      <c r="W24" s="2"/>
    </row>
    <row r="25" spans="1:24" ht="15.5" x14ac:dyDescent="0.35">
      <c r="A25" t="s">
        <v>4</v>
      </c>
      <c r="B25" s="11">
        <v>1</v>
      </c>
      <c r="C25" t="s">
        <v>23</v>
      </c>
      <c r="D25" s="25">
        <v>25</v>
      </c>
      <c r="E25" t="s">
        <v>12</v>
      </c>
      <c r="G25" s="5"/>
      <c r="I25" s="72"/>
      <c r="J25" t="s">
        <v>12</v>
      </c>
      <c r="K25" s="52">
        <f t="shared" si="0"/>
        <v>0</v>
      </c>
      <c r="L25" t="s">
        <v>12</v>
      </c>
      <c r="N25" s="90"/>
      <c r="O25" s="29">
        <f>O26-0.5</f>
        <v>3.5</v>
      </c>
      <c r="P25" s="81">
        <f t="shared" ref="P25:U31" si="1">IF(((($C$91+$B$80)-(P$24*$B$76)-($O25*$B$78))/$B$77)&gt;0,((($C$91+$B$80)-(P$24*$B$76)-($O25*$B$78))/$B$77),"VC")</f>
        <v>41.454768581818186</v>
      </c>
      <c r="Q25" s="81">
        <f t="shared" si="1"/>
        <v>34.182041309090913</v>
      </c>
      <c r="R25" s="81">
        <f t="shared" si="1"/>
        <v>26.909314036363639</v>
      </c>
      <c r="S25" s="81">
        <f t="shared" si="1"/>
        <v>19.636586763636366</v>
      </c>
      <c r="T25" s="81">
        <f t="shared" si="1"/>
        <v>12.363859490909094</v>
      </c>
      <c r="U25" s="81">
        <f t="shared" si="1"/>
        <v>5.091132218181821</v>
      </c>
      <c r="V25" s="81" t="str">
        <f>IF(((($C$91+$B$80)-(V$24*$B$76)-($O25*$B$78))/$B$77)&gt;0,((($C$91+$B$80)-(V$24*$B$76)-($O25*$B$78))/$B$77),"VC")</f>
        <v>VC</v>
      </c>
      <c r="W25" s="2"/>
    </row>
    <row r="26" spans="1:24" ht="15.5" x14ac:dyDescent="0.35">
      <c r="A26" t="s">
        <v>96</v>
      </c>
      <c r="B26" s="11">
        <v>0</v>
      </c>
      <c r="C26" t="s">
        <v>23</v>
      </c>
      <c r="D26" s="25">
        <v>0</v>
      </c>
      <c r="E26" t="s">
        <v>12</v>
      </c>
      <c r="G26" s="4"/>
      <c r="I26" s="43"/>
      <c r="J26" t="s">
        <v>12</v>
      </c>
      <c r="K26" s="52">
        <f t="shared" si="0"/>
        <v>0</v>
      </c>
      <c r="L26" t="s">
        <v>12</v>
      </c>
      <c r="N26" s="90"/>
      <c r="O26" s="29">
        <f>O27-0.5</f>
        <v>4</v>
      </c>
      <c r="P26" s="81">
        <f t="shared" si="1"/>
        <v>39.500223127272733</v>
      </c>
      <c r="Q26" s="81">
        <f t="shared" si="1"/>
        <v>32.22749585454546</v>
      </c>
      <c r="R26" s="81">
        <f t="shared" si="1"/>
        <v>24.954768581818186</v>
      </c>
      <c r="S26" s="81">
        <f t="shared" si="1"/>
        <v>17.682041309090913</v>
      </c>
      <c r="T26" s="81">
        <f t="shared" si="1"/>
        <v>10.409314036363639</v>
      </c>
      <c r="U26" s="81">
        <f t="shared" si="1"/>
        <v>3.1365867636363665</v>
      </c>
      <c r="V26" s="81" t="str">
        <f>IF(((($C$91+$B$80)-(V$24*$B$76)-($O26*$B$78))/$B$77)&lt;0,"VC")</f>
        <v>VC</v>
      </c>
      <c r="W26" s="2"/>
    </row>
    <row r="27" spans="1:24" ht="15.5" x14ac:dyDescent="0.35">
      <c r="A27" s="10" t="s">
        <v>68</v>
      </c>
      <c r="B27" s="89" t="s">
        <v>63</v>
      </c>
      <c r="C27" s="89"/>
      <c r="D27" s="89"/>
      <c r="E27" s="89"/>
      <c r="F27" s="89" t="s">
        <v>64</v>
      </c>
      <c r="G27" s="89"/>
      <c r="H27" s="89"/>
      <c r="I27" s="89"/>
      <c r="J27" s="89"/>
      <c r="K27" s="89"/>
      <c r="L27" s="65"/>
      <c r="N27" s="90"/>
      <c r="O27" s="29">
        <f>O28-0.5</f>
        <v>4.5</v>
      </c>
      <c r="P27" s="81">
        <f t="shared" si="1"/>
        <v>37.545677672727273</v>
      </c>
      <c r="Q27" s="81">
        <f t="shared" si="1"/>
        <v>30.272950400000003</v>
      </c>
      <c r="R27" s="81">
        <f t="shared" si="1"/>
        <v>23.000223127272729</v>
      </c>
      <c r="S27" s="81">
        <f t="shared" si="1"/>
        <v>15.727495854545458</v>
      </c>
      <c r="T27" s="81">
        <f t="shared" si="1"/>
        <v>8.4547685818181844</v>
      </c>
      <c r="U27" s="81">
        <f t="shared" si="1"/>
        <v>1.1820413090909121</v>
      </c>
      <c r="V27" s="81" t="str">
        <f t="shared" ref="V27:V31" si="2">IF(((($C$91+$B$80)-(V$24*$B$76)-($O27*$B$78))/$B$77)&lt;0,"VC")</f>
        <v>VC</v>
      </c>
      <c r="W27" s="2"/>
    </row>
    <row r="28" spans="1:24" ht="15.5" x14ac:dyDescent="0.35">
      <c r="A28" s="9"/>
      <c r="G28" s="9" t="s">
        <v>85</v>
      </c>
      <c r="I28" s="9" t="s">
        <v>94</v>
      </c>
      <c r="K28" s="21" t="s">
        <v>95</v>
      </c>
      <c r="L28" s="61"/>
      <c r="N28" s="90"/>
      <c r="O28" s="29">
        <f>G86</f>
        <v>5</v>
      </c>
      <c r="P28" s="81">
        <f t="shared" si="1"/>
        <v>35.591132218181819</v>
      </c>
      <c r="Q28" s="81">
        <f t="shared" si="1"/>
        <v>28.318404945454549</v>
      </c>
      <c r="R28" s="81">
        <f t="shared" si="1"/>
        <v>21.045677672727276</v>
      </c>
      <c r="S28" s="81">
        <f t="shared" si="1"/>
        <v>13.772950400000003</v>
      </c>
      <c r="T28" s="81">
        <f t="shared" si="1"/>
        <v>6.5002231272727302</v>
      </c>
      <c r="U28" s="81" t="str">
        <f t="shared" si="1"/>
        <v>VC</v>
      </c>
      <c r="V28" s="81" t="str">
        <f t="shared" si="2"/>
        <v>VC</v>
      </c>
      <c r="W28" s="2"/>
    </row>
    <row r="29" spans="1:24" ht="15.5" x14ac:dyDescent="0.35">
      <c r="A29" t="s">
        <v>25</v>
      </c>
      <c r="B29" s="11">
        <v>1</v>
      </c>
      <c r="C29" t="s">
        <v>23</v>
      </c>
      <c r="D29" s="25">
        <v>26</v>
      </c>
      <c r="E29" s="9" t="s">
        <v>32</v>
      </c>
      <c r="F29" s="11"/>
      <c r="G29" s="4"/>
      <c r="I29" s="43"/>
      <c r="J29" s="9" t="s">
        <v>32</v>
      </c>
      <c r="K29" s="62">
        <f>G29*I29</f>
        <v>0</v>
      </c>
      <c r="L29" s="58" t="s">
        <v>12</v>
      </c>
      <c r="N29" s="90"/>
      <c r="O29" s="29">
        <f>O28+0.5</f>
        <v>5.5</v>
      </c>
      <c r="P29" s="81">
        <f t="shared" si="1"/>
        <v>33.636586763636366</v>
      </c>
      <c r="Q29" s="81">
        <f t="shared" si="1"/>
        <v>26.363859490909093</v>
      </c>
      <c r="R29" s="81">
        <f t="shared" si="1"/>
        <v>19.091132218181823</v>
      </c>
      <c r="S29" s="81">
        <f t="shared" si="1"/>
        <v>11.818404945454548</v>
      </c>
      <c r="T29" s="81">
        <f t="shared" si="1"/>
        <v>4.5456776727272761</v>
      </c>
      <c r="U29" s="81" t="str">
        <f t="shared" si="1"/>
        <v>VC</v>
      </c>
      <c r="V29" s="81" t="str">
        <f t="shared" si="2"/>
        <v>VC</v>
      </c>
      <c r="W29" s="2"/>
    </row>
    <row r="30" spans="1:24" ht="15.5" x14ac:dyDescent="0.35">
      <c r="A30" t="s">
        <v>39</v>
      </c>
      <c r="B30" s="41">
        <f>K55</f>
        <v>11</v>
      </c>
      <c r="C30" t="s">
        <v>23</v>
      </c>
      <c r="D30" s="25">
        <v>0.85</v>
      </c>
      <c r="E30" t="s">
        <v>40</v>
      </c>
      <c r="F30" s="41"/>
      <c r="G30" s="8"/>
      <c r="I30" s="72"/>
      <c r="J30" t="s">
        <v>40</v>
      </c>
      <c r="K30" s="62">
        <f>G30*I30</f>
        <v>0</v>
      </c>
      <c r="L30" s="58" t="s">
        <v>12</v>
      </c>
      <c r="N30" s="90"/>
      <c r="O30" s="29">
        <f>O29+0.5</f>
        <v>6</v>
      </c>
      <c r="P30" s="81">
        <f t="shared" si="1"/>
        <v>31.682041309090913</v>
      </c>
      <c r="Q30" s="81">
        <f t="shared" si="1"/>
        <v>24.409314036363639</v>
      </c>
      <c r="R30" s="81">
        <f t="shared" si="1"/>
        <v>17.136586763636366</v>
      </c>
      <c r="S30" s="81">
        <f t="shared" si="1"/>
        <v>9.8638594909090944</v>
      </c>
      <c r="T30" s="81">
        <f t="shared" si="1"/>
        <v>2.591132218181821</v>
      </c>
      <c r="U30" s="81" t="str">
        <f t="shared" si="1"/>
        <v>VC</v>
      </c>
      <c r="V30" s="81" t="str">
        <f t="shared" si="2"/>
        <v>VC</v>
      </c>
      <c r="W30" s="2"/>
    </row>
    <row r="31" spans="1:24" ht="15.5" x14ac:dyDescent="0.35">
      <c r="K31" s="46" t="s">
        <v>88</v>
      </c>
      <c r="L31" s="21" t="s">
        <v>91</v>
      </c>
      <c r="N31" s="90"/>
      <c r="O31" s="29">
        <f>O30+0.5</f>
        <v>6.5</v>
      </c>
      <c r="P31" s="81">
        <f t="shared" si="1"/>
        <v>29.727495854545456</v>
      </c>
      <c r="Q31" s="81">
        <f t="shared" si="1"/>
        <v>22.454768581818186</v>
      </c>
      <c r="R31" s="81">
        <f t="shared" si="1"/>
        <v>15.182041309090913</v>
      </c>
      <c r="S31" s="81">
        <f t="shared" si="1"/>
        <v>7.9093140363636394</v>
      </c>
      <c r="T31" s="81">
        <f t="shared" si="1"/>
        <v>0.63658676363636668</v>
      </c>
      <c r="U31" s="81" t="str">
        <f t="shared" si="1"/>
        <v>VC</v>
      </c>
      <c r="V31" s="81" t="str">
        <f t="shared" si="2"/>
        <v>VC</v>
      </c>
      <c r="W31" s="2"/>
      <c r="X31" s="2"/>
    </row>
    <row r="32" spans="1:24" ht="15.5" x14ac:dyDescent="0.35">
      <c r="I32" s="20"/>
      <c r="J32" s="20"/>
      <c r="K32" s="53">
        <f>SUM(K3, SUMPRODUCT(B21:B26,D21:D26), SUMPRODUCT(B29:B30,D29:D30))</f>
        <v>1114.55</v>
      </c>
      <c r="L32" s="51">
        <f>IF(L3=0,SUM(K3,K21:K26,K29:K30),SUM(L3,K21:K26,,K29:K30))</f>
        <v>684.2</v>
      </c>
      <c r="N32" s="2"/>
    </row>
    <row r="33" spans="1:24" ht="15.5" x14ac:dyDescent="0.35">
      <c r="I33" s="9"/>
      <c r="J33" s="9"/>
      <c r="K33" s="25"/>
      <c r="N33" s="44"/>
      <c r="O33" s="44"/>
      <c r="P33" s="88" t="s">
        <v>116</v>
      </c>
      <c r="Q33" s="88"/>
      <c r="R33" s="88"/>
      <c r="S33" s="88"/>
      <c r="T33" s="88"/>
      <c r="U33" s="88"/>
      <c r="V33" s="88"/>
    </row>
    <row r="34" spans="1:24" ht="15.5" x14ac:dyDescent="0.35">
      <c r="A34" s="10" t="s">
        <v>105</v>
      </c>
      <c r="B34" s="89" t="s">
        <v>63</v>
      </c>
      <c r="C34" s="89"/>
      <c r="D34" s="89"/>
      <c r="E34" s="89"/>
      <c r="F34" s="89" t="s">
        <v>64</v>
      </c>
      <c r="G34" s="89"/>
      <c r="H34" s="89"/>
      <c r="I34" s="89"/>
      <c r="J34" s="89"/>
      <c r="K34" s="89"/>
      <c r="L34" s="65"/>
      <c r="N34" s="30"/>
      <c r="O34" s="68"/>
      <c r="P34" s="93" t="s">
        <v>81</v>
      </c>
      <c r="Q34" s="93"/>
      <c r="R34" s="93"/>
      <c r="S34" s="93"/>
      <c r="T34" s="93"/>
      <c r="U34" s="93"/>
      <c r="V34" s="93"/>
    </row>
    <row r="35" spans="1:24" ht="15.5" x14ac:dyDescent="0.35">
      <c r="A35" s="9"/>
      <c r="B35" s="9"/>
      <c r="C35" s="9"/>
      <c r="D35" s="9"/>
      <c r="E35" s="9"/>
      <c r="G35" s="9" t="s">
        <v>87</v>
      </c>
      <c r="H35" s="9"/>
      <c r="I35" s="9" t="s">
        <v>94</v>
      </c>
      <c r="J35" s="9"/>
      <c r="K35" s="21" t="s">
        <v>95</v>
      </c>
      <c r="L35" s="22"/>
      <c r="N35" s="90" t="s">
        <v>77</v>
      </c>
      <c r="O35" s="31"/>
      <c r="P35" s="82">
        <f>Q35-1</f>
        <v>5</v>
      </c>
      <c r="Q35" s="82">
        <f>R35-1</f>
        <v>6</v>
      </c>
      <c r="R35" s="82">
        <f>S35-1</f>
        <v>7</v>
      </c>
      <c r="S35" s="82">
        <f>G89</f>
        <v>8</v>
      </c>
      <c r="T35" s="82">
        <f>S35+1</f>
        <v>9</v>
      </c>
      <c r="U35" s="82">
        <f>T35+1</f>
        <v>10</v>
      </c>
      <c r="V35" s="82">
        <f>U35+1</f>
        <v>11</v>
      </c>
    </row>
    <row r="36" spans="1:24" ht="15.5" x14ac:dyDescent="0.35">
      <c r="A36" t="s">
        <v>62</v>
      </c>
      <c r="B36" s="11">
        <v>15</v>
      </c>
      <c r="C36" t="s">
        <v>13</v>
      </c>
      <c r="D36" s="11">
        <v>7.25</v>
      </c>
      <c r="E36" t="s">
        <v>124</v>
      </c>
      <c r="F36" s="11"/>
      <c r="G36" s="4"/>
      <c r="H36" t="s">
        <v>13</v>
      </c>
      <c r="I36" s="43"/>
      <c r="J36" t="s">
        <v>124</v>
      </c>
      <c r="K36" s="52">
        <f>G36*I36</f>
        <v>0</v>
      </c>
      <c r="L36" s="18" t="s">
        <v>12</v>
      </c>
      <c r="N36" s="90"/>
      <c r="O36" s="29">
        <f>O37-1</f>
        <v>12</v>
      </c>
      <c r="P36" s="81">
        <f t="shared" ref="P36:U42" si="3">IF(((($C$91+$B$80)-(P$35*$B$76)-($O36*$B$77))/$B$78)&gt;0,((($C$91+$B$80)-(P$35*$B$76)-($O36*$B$77))/$B$78),"VC")</f>
        <v>11.034940800000001</v>
      </c>
      <c r="Q36" s="81">
        <f t="shared" si="3"/>
        <v>9.1744756837209316</v>
      </c>
      <c r="R36" s="81">
        <f t="shared" si="3"/>
        <v>7.3140105674418612</v>
      </c>
      <c r="S36" s="81">
        <f t="shared" si="3"/>
        <v>5.4535454511627917</v>
      </c>
      <c r="T36" s="81">
        <f t="shared" si="3"/>
        <v>3.5930803348837217</v>
      </c>
      <c r="U36" s="81">
        <f t="shared" si="3"/>
        <v>1.732615218604652</v>
      </c>
      <c r="V36" s="81" t="str">
        <f>IF(((($C$91+$B$80)-(V$35*$B$76)-($O36*$B$77))/$B$78)&gt;0,((($C$91+$B$80)-(V$35*$B$76)-($O36*$B$77))/$B$78),"VC")</f>
        <v>VC</v>
      </c>
    </row>
    <row r="37" spans="1:24" ht="15.5" x14ac:dyDescent="0.35">
      <c r="A37" t="s">
        <v>125</v>
      </c>
      <c r="B37" s="11">
        <v>3.5</v>
      </c>
      <c r="C37" t="s">
        <v>13</v>
      </c>
      <c r="D37" s="11">
        <v>7.25</v>
      </c>
      <c r="E37" t="s">
        <v>124</v>
      </c>
      <c r="F37" s="11"/>
      <c r="G37" s="4"/>
      <c r="H37" t="s">
        <v>13</v>
      </c>
      <c r="I37" s="43"/>
      <c r="J37" t="s">
        <v>124</v>
      </c>
      <c r="K37" s="52">
        <f>G37*I37</f>
        <v>0</v>
      </c>
      <c r="L37" s="18" t="s">
        <v>12</v>
      </c>
      <c r="N37" s="90"/>
      <c r="O37" s="29">
        <f>O38-1</f>
        <v>13</v>
      </c>
      <c r="P37" s="81">
        <f t="shared" si="3"/>
        <v>10.779126846511629</v>
      </c>
      <c r="Q37" s="81">
        <f t="shared" si="3"/>
        <v>8.918661730232559</v>
      </c>
      <c r="R37" s="81">
        <f t="shared" si="3"/>
        <v>7.0581966139534895</v>
      </c>
      <c r="S37" s="81">
        <f t="shared" si="3"/>
        <v>5.1977314976744191</v>
      </c>
      <c r="T37" s="81">
        <f t="shared" si="3"/>
        <v>3.3372663813953496</v>
      </c>
      <c r="U37" s="81">
        <f t="shared" si="3"/>
        <v>1.4768012651162798</v>
      </c>
      <c r="V37" s="81" t="str">
        <f t="shared" ref="V37:V42" si="4">IF(((($C$91+$B$80)-(V$35*$B$76)-($O37*$B$77))/$B$78)&gt;0,((($C$91+$B$80)-(V$35*$B$76)-($O37*$B$77))/$B$78),"VC")</f>
        <v>VC</v>
      </c>
    </row>
    <row r="38" spans="1:24" ht="15.5" x14ac:dyDescent="0.35">
      <c r="A38" t="s">
        <v>16</v>
      </c>
      <c r="B38" s="11">
        <v>120</v>
      </c>
      <c r="C38" t="s">
        <v>66</v>
      </c>
      <c r="D38" s="25">
        <v>1.5</v>
      </c>
      <c r="E38" t="s">
        <v>12</v>
      </c>
      <c r="F38" s="11"/>
      <c r="G38" s="5"/>
      <c r="H38" t="s">
        <v>66</v>
      </c>
      <c r="I38" s="72"/>
      <c r="J38" t="s">
        <v>12</v>
      </c>
      <c r="K38" s="52">
        <f>G38*I38</f>
        <v>0</v>
      </c>
      <c r="L38" s="18" t="s">
        <v>12</v>
      </c>
      <c r="N38" s="90"/>
      <c r="O38" s="29">
        <f>O39-1</f>
        <v>14</v>
      </c>
      <c r="P38" s="81">
        <f t="shared" si="3"/>
        <v>10.523312893023256</v>
      </c>
      <c r="Q38" s="81">
        <f t="shared" si="3"/>
        <v>8.6628477767441865</v>
      </c>
      <c r="R38" s="81">
        <f t="shared" si="3"/>
        <v>6.802382660465117</v>
      </c>
      <c r="S38" s="81">
        <f t="shared" si="3"/>
        <v>4.9419175441860475</v>
      </c>
      <c r="T38" s="81">
        <f t="shared" si="3"/>
        <v>3.0814524279069775</v>
      </c>
      <c r="U38" s="81">
        <f t="shared" si="3"/>
        <v>1.2209873116279077</v>
      </c>
      <c r="V38" s="81" t="str">
        <f t="shared" si="4"/>
        <v>VC</v>
      </c>
    </row>
    <row r="39" spans="1:24" ht="15.5" x14ac:dyDescent="0.35">
      <c r="A39" t="s">
        <v>17</v>
      </c>
      <c r="B39" s="11">
        <v>4</v>
      </c>
      <c r="C39" t="s">
        <v>15</v>
      </c>
      <c r="D39" s="11">
        <v>1.5E-3</v>
      </c>
      <c r="E39" t="s">
        <v>14</v>
      </c>
      <c r="F39" s="11"/>
      <c r="G39" s="4"/>
      <c r="H39" t="s">
        <v>15</v>
      </c>
      <c r="I39" s="4"/>
      <c r="J39" t="s">
        <v>14</v>
      </c>
      <c r="K39" s="52">
        <f>G39*I39</f>
        <v>0</v>
      </c>
      <c r="L39" s="18" t="s">
        <v>12</v>
      </c>
      <c r="N39" s="90"/>
      <c r="O39" s="29">
        <f>G90</f>
        <v>15</v>
      </c>
      <c r="P39" s="81">
        <f t="shared" si="3"/>
        <v>10.267498939534885</v>
      </c>
      <c r="Q39" s="81">
        <f t="shared" si="3"/>
        <v>8.4070338232558139</v>
      </c>
      <c r="R39" s="81">
        <f t="shared" si="3"/>
        <v>6.5465687069767453</v>
      </c>
      <c r="S39" s="81">
        <f t="shared" si="3"/>
        <v>4.6861035906976749</v>
      </c>
      <c r="T39" s="81">
        <f t="shared" si="3"/>
        <v>2.8256384744186054</v>
      </c>
      <c r="U39" s="81">
        <f t="shared" si="3"/>
        <v>0.96517335813953564</v>
      </c>
      <c r="V39" s="81" t="str">
        <f t="shared" si="4"/>
        <v>VC</v>
      </c>
    </row>
    <row r="40" spans="1:24" ht="15.75" customHeight="1" x14ac:dyDescent="0.35">
      <c r="B40" s="11"/>
      <c r="C40" s="11"/>
      <c r="D40" s="11"/>
      <c r="F40" s="11"/>
      <c r="G40" s="11"/>
      <c r="H40" s="11"/>
      <c r="K40" s="21" t="s">
        <v>92</v>
      </c>
      <c r="L40" s="21" t="s">
        <v>93</v>
      </c>
      <c r="N40" s="90"/>
      <c r="O40" s="29">
        <f>O39+1</f>
        <v>16</v>
      </c>
      <c r="P40" s="81">
        <f t="shared" si="3"/>
        <v>10.011684986046513</v>
      </c>
      <c r="Q40" s="81">
        <f t="shared" si="3"/>
        <v>8.1512198697674432</v>
      </c>
      <c r="R40" s="81">
        <f t="shared" si="3"/>
        <v>6.2907547534883728</v>
      </c>
      <c r="S40" s="81">
        <f t="shared" si="3"/>
        <v>4.4302896372093032</v>
      </c>
      <c r="T40" s="81">
        <f t="shared" si="3"/>
        <v>2.5698245209302333</v>
      </c>
      <c r="U40" s="81">
        <f t="shared" si="3"/>
        <v>0.70935940465116354</v>
      </c>
      <c r="V40" s="81" t="str">
        <f t="shared" si="4"/>
        <v>VC</v>
      </c>
    </row>
    <row r="41" spans="1:24" ht="15.5" x14ac:dyDescent="0.35">
      <c r="I41" s="20"/>
      <c r="J41" s="20"/>
      <c r="K41" s="55">
        <f>SUMPRODUCT(B36:B39,D36:D39)</f>
        <v>314.13099999999997</v>
      </c>
      <c r="L41" s="53">
        <f>SUM(K36:K39)</f>
        <v>0</v>
      </c>
      <c r="N41" s="90"/>
      <c r="O41" s="29">
        <f>O40+1</f>
        <v>17</v>
      </c>
      <c r="P41" s="81">
        <f t="shared" si="3"/>
        <v>9.7558710325581401</v>
      </c>
      <c r="Q41" s="81">
        <f t="shared" si="3"/>
        <v>7.8954059162790706</v>
      </c>
      <c r="R41" s="81">
        <f t="shared" si="3"/>
        <v>6.0349408000000011</v>
      </c>
      <c r="S41" s="81">
        <f t="shared" si="3"/>
        <v>4.1744756837209307</v>
      </c>
      <c r="T41" s="81">
        <f t="shared" si="3"/>
        <v>2.3140105674418612</v>
      </c>
      <c r="U41" s="81">
        <f t="shared" si="3"/>
        <v>0.45354545116279149</v>
      </c>
      <c r="V41" s="81" t="str">
        <f t="shared" si="4"/>
        <v>VC</v>
      </c>
    </row>
    <row r="42" spans="1:24" ht="15.5" x14ac:dyDescent="0.35">
      <c r="I42" s="9"/>
      <c r="J42" s="9"/>
      <c r="K42" s="25"/>
      <c r="N42" s="90"/>
      <c r="O42" s="29">
        <f>O41+1</f>
        <v>18</v>
      </c>
      <c r="P42" s="81">
        <f t="shared" si="3"/>
        <v>9.5000570790697676</v>
      </c>
      <c r="Q42" s="81">
        <f t="shared" si="3"/>
        <v>7.6395919627906981</v>
      </c>
      <c r="R42" s="81">
        <f>IF(((($C$91+$B$80)-(R$35*$B$76)-($O42*$B$77))/$B$78)&gt;0,((($C$91+$B$80)-(R$35*$B$76)-($O42*$B$77))/$B$78),"VC")</f>
        <v>5.7791268465116286</v>
      </c>
      <c r="S42" s="81">
        <f t="shared" si="3"/>
        <v>3.918661730232559</v>
      </c>
      <c r="T42" s="81">
        <f t="shared" si="3"/>
        <v>2.0581966139534891</v>
      </c>
      <c r="U42" s="81">
        <f t="shared" si="3"/>
        <v>0.19773149767441939</v>
      </c>
      <c r="V42" s="81" t="str">
        <f t="shared" si="4"/>
        <v>VC</v>
      </c>
    </row>
    <row r="43" spans="1:24" ht="15.75" customHeight="1" x14ac:dyDescent="0.35">
      <c r="A43" s="10" t="s">
        <v>69</v>
      </c>
      <c r="B43" s="89" t="s">
        <v>63</v>
      </c>
      <c r="C43" s="89"/>
      <c r="D43" s="89"/>
      <c r="E43" s="89"/>
      <c r="F43" s="89" t="s">
        <v>64</v>
      </c>
      <c r="G43" s="89"/>
      <c r="H43" s="89"/>
      <c r="I43" s="89"/>
      <c r="J43" s="89"/>
      <c r="K43" s="89"/>
      <c r="L43" s="65"/>
    </row>
    <row r="44" spans="1:24" ht="15.5" x14ac:dyDescent="0.35">
      <c r="A44" s="32" t="s">
        <v>36</v>
      </c>
      <c r="B44" s="33"/>
      <c r="C44" s="33"/>
      <c r="D44" s="33"/>
      <c r="E44" s="33"/>
      <c r="F44" s="34"/>
      <c r="G44" s="9" t="s">
        <v>87</v>
      </c>
      <c r="H44" s="9"/>
      <c r="I44" s="9" t="s">
        <v>94</v>
      </c>
      <c r="J44" s="9"/>
      <c r="K44" s="21" t="s">
        <v>95</v>
      </c>
      <c r="L44" s="61"/>
      <c r="N44" s="100" t="s">
        <v>75</v>
      </c>
      <c r="O44" s="100"/>
      <c r="P44" s="100"/>
      <c r="Q44" s="100"/>
      <c r="R44" s="100"/>
      <c r="S44" s="100"/>
      <c r="T44" s="100"/>
      <c r="U44" s="100"/>
      <c r="V44" s="100"/>
      <c r="W44" s="3"/>
      <c r="X44" s="3"/>
    </row>
    <row r="45" spans="1:24" x14ac:dyDescent="0.35">
      <c r="A45" t="s">
        <v>21</v>
      </c>
      <c r="B45" s="25">
        <v>4.8</v>
      </c>
      <c r="C45" t="s">
        <v>29</v>
      </c>
      <c r="D45" s="25">
        <v>1.4</v>
      </c>
      <c r="E45" t="s">
        <v>28</v>
      </c>
      <c r="G45" s="43"/>
      <c r="H45" t="s">
        <v>29</v>
      </c>
      <c r="I45" s="43"/>
      <c r="J45" t="s">
        <v>28</v>
      </c>
      <c r="K45" s="62">
        <f>G45*I45</f>
        <v>0</v>
      </c>
      <c r="L45" s="58" t="s">
        <v>12</v>
      </c>
    </row>
    <row r="46" spans="1:24" ht="15" customHeight="1" x14ac:dyDescent="0.35">
      <c r="A46" t="s">
        <v>41</v>
      </c>
      <c r="B46" s="25">
        <f>B45*1.4</f>
        <v>6.72</v>
      </c>
      <c r="C46" t="s">
        <v>29</v>
      </c>
      <c r="D46" s="25">
        <v>0.7</v>
      </c>
      <c r="E46" t="s">
        <v>28</v>
      </c>
      <c r="G46" s="43"/>
      <c r="H46" t="s">
        <v>29</v>
      </c>
      <c r="I46" s="43"/>
      <c r="J46" t="s">
        <v>28</v>
      </c>
      <c r="K46" s="62">
        <f t="shared" ref="K46:K50" si="5">G46*I46</f>
        <v>0</v>
      </c>
      <c r="L46" s="58" t="s">
        <v>12</v>
      </c>
      <c r="N46" s="100" t="s">
        <v>117</v>
      </c>
      <c r="O46" s="100"/>
      <c r="P46" s="100"/>
      <c r="Q46" s="100"/>
      <c r="R46" s="100"/>
      <c r="S46" s="100"/>
      <c r="T46" s="100"/>
      <c r="U46" s="100"/>
      <c r="V46" s="100"/>
    </row>
    <row r="47" spans="1:24" ht="15.5" x14ac:dyDescent="0.35">
      <c r="A47" t="s">
        <v>42</v>
      </c>
      <c r="B47" s="25">
        <f>B45*1.4</f>
        <v>6.72</v>
      </c>
      <c r="C47" t="s">
        <v>29</v>
      </c>
      <c r="D47" s="25">
        <v>0.21</v>
      </c>
      <c r="E47" t="s">
        <v>28</v>
      </c>
      <c r="G47" s="43"/>
      <c r="H47" t="s">
        <v>29</v>
      </c>
      <c r="I47" s="72"/>
      <c r="J47" t="s">
        <v>28</v>
      </c>
      <c r="K47" s="62">
        <f t="shared" si="5"/>
        <v>0</v>
      </c>
      <c r="L47" s="58" t="s">
        <v>12</v>
      </c>
      <c r="N47" s="35"/>
      <c r="O47" s="36"/>
      <c r="P47" s="95" t="s">
        <v>76</v>
      </c>
      <c r="Q47" s="95"/>
      <c r="R47" s="95"/>
      <c r="S47" s="95"/>
      <c r="T47" s="95"/>
      <c r="U47" s="95"/>
      <c r="V47" s="95"/>
    </row>
    <row r="48" spans="1:24" ht="14.5" customHeight="1" x14ac:dyDescent="0.35">
      <c r="A48" t="s">
        <v>27</v>
      </c>
      <c r="B48" s="25">
        <f>B45*0.101442</f>
        <v>0.48692160000000001</v>
      </c>
      <c r="C48" t="s">
        <v>29</v>
      </c>
      <c r="D48" s="25">
        <v>9</v>
      </c>
      <c r="E48" t="s">
        <v>28</v>
      </c>
      <c r="G48" s="43"/>
      <c r="H48" t="s">
        <v>29</v>
      </c>
      <c r="I48" s="72"/>
      <c r="J48" t="s">
        <v>28</v>
      </c>
      <c r="K48" s="62">
        <f t="shared" si="5"/>
        <v>0</v>
      </c>
      <c r="L48" s="58" t="s">
        <v>12</v>
      </c>
      <c r="N48" s="86" t="s">
        <v>78</v>
      </c>
      <c r="O48" s="35"/>
      <c r="P48" s="70" t="str">
        <f>IF($S$48="-","-",($S$48-3))</f>
        <v>-</v>
      </c>
      <c r="Q48" s="70" t="str">
        <f>IF($S$48="-","-",($S$48-2))</f>
        <v>-</v>
      </c>
      <c r="R48" s="70" t="str">
        <f>IF($S$48="-","-",($S$48-1))</f>
        <v>-</v>
      </c>
      <c r="S48" s="70" t="str">
        <f>IF(H85=0,"-",H85)</f>
        <v>-</v>
      </c>
      <c r="T48" s="70" t="str">
        <f>IF($S$48="-","-",($S$48+1))</f>
        <v>-</v>
      </c>
      <c r="U48" s="70" t="str">
        <f>IF($S$48="-","-",($S$48+2))</f>
        <v>-</v>
      </c>
      <c r="V48" s="70" t="str">
        <f>IF($S$48="-","-",($S$48+3))</f>
        <v>-</v>
      </c>
    </row>
    <row r="49" spans="1:28" ht="15.5" x14ac:dyDescent="0.35">
      <c r="A49" t="s">
        <v>48</v>
      </c>
      <c r="B49" s="25">
        <v>1</v>
      </c>
      <c r="C49" t="s">
        <v>13</v>
      </c>
      <c r="D49" s="25">
        <v>7.25</v>
      </c>
      <c r="E49" t="s">
        <v>124</v>
      </c>
      <c r="G49" s="72"/>
      <c r="H49" t="s">
        <v>13</v>
      </c>
      <c r="I49" s="72"/>
      <c r="J49" t="s">
        <v>124</v>
      </c>
      <c r="K49" s="62">
        <f t="shared" si="5"/>
        <v>0</v>
      </c>
      <c r="L49" s="58" t="s">
        <v>12</v>
      </c>
      <c r="N49" s="86"/>
      <c r="O49" s="70" t="str">
        <f>IF($O$52="-","-",$O$52-1.5)</f>
        <v>-</v>
      </c>
      <c r="P49" s="25" t="str">
        <f>IF(AND($C$77&gt;0,$S$48&lt;&gt;"-",$O$52&lt;&gt;"-"),IF(((($D$91+$C$80)-(P$48*$C$76)-($O49*$C$78))/$C$77)&gt;0,((($D$91+$C$80)-(P$48*$C$76)-($O49*$C$78))/$C$77),"VC"),"-")</f>
        <v>-</v>
      </c>
      <c r="Q49" s="25" t="str">
        <f t="shared" ref="Q49:V55" si="6">IF(AND($C$77&gt;0,$S$48&lt;&gt;"-",$O$52&lt;&gt;"-"),IF(((($D$91+$C$80)-(Q$48*$C$76)-($O49*$C$78))/$C$77)&gt;0,((($D$91+$C$80)-(Q$48*$C$76)-($O49*$C$78))/$C$77),"VC"),"-")</f>
        <v>-</v>
      </c>
      <c r="R49" s="25" t="str">
        <f t="shared" si="6"/>
        <v>-</v>
      </c>
      <c r="S49" s="25" t="str">
        <f t="shared" si="6"/>
        <v>-</v>
      </c>
      <c r="T49" s="25" t="str">
        <f t="shared" si="6"/>
        <v>-</v>
      </c>
      <c r="U49" s="25" t="str">
        <f t="shared" si="6"/>
        <v>-</v>
      </c>
      <c r="V49" s="25" t="str">
        <f t="shared" si="6"/>
        <v>-</v>
      </c>
      <c r="AB49" s="2"/>
    </row>
    <row r="50" spans="1:28" x14ac:dyDescent="0.35">
      <c r="A50" t="s">
        <v>49</v>
      </c>
      <c r="B50" s="25">
        <v>4</v>
      </c>
      <c r="C50" t="s">
        <v>51</v>
      </c>
      <c r="D50" s="11">
        <v>1.5E-3</v>
      </c>
      <c r="E50" t="s">
        <v>14</v>
      </c>
      <c r="G50" s="72"/>
      <c r="H50" t="s">
        <v>51</v>
      </c>
      <c r="I50" s="75"/>
      <c r="J50" t="s">
        <v>14</v>
      </c>
      <c r="K50" s="62">
        <f t="shared" si="5"/>
        <v>0</v>
      </c>
      <c r="L50" s="58" t="s">
        <v>12</v>
      </c>
      <c r="N50" s="86"/>
      <c r="O50" s="70" t="str">
        <f>IF($O$52="-","-",$O$52-1)</f>
        <v>-</v>
      </c>
      <c r="P50" s="25" t="str">
        <f t="shared" ref="P50:P55" si="7">IF(AND($C$77&gt;0,$S$48&lt;&gt;"-",$O$52&lt;&gt;"-"),IF(((($D$91+$C$80)-(P$48*$C$76)-($O50*$C$78))/$C$77)&gt;0,((($D$91+$C$80)-(P$48*$C$76)-($O50*$C$78))/$C$77),"VC"),"-")</f>
        <v>-</v>
      </c>
      <c r="Q50" s="25" t="str">
        <f t="shared" si="6"/>
        <v>-</v>
      </c>
      <c r="R50" s="25" t="str">
        <f t="shared" si="6"/>
        <v>-</v>
      </c>
      <c r="S50" s="25" t="str">
        <f t="shared" si="6"/>
        <v>-</v>
      </c>
      <c r="T50" s="25" t="str">
        <f t="shared" si="6"/>
        <v>-</v>
      </c>
      <c r="U50" s="25" t="str">
        <f t="shared" si="6"/>
        <v>-</v>
      </c>
      <c r="V50" s="25" t="str">
        <f t="shared" si="6"/>
        <v>-</v>
      </c>
    </row>
    <row r="51" spans="1:28" x14ac:dyDescent="0.35">
      <c r="B51" s="25"/>
      <c r="D51" s="11"/>
      <c r="G51" s="41"/>
      <c r="I51" s="11"/>
      <c r="J51" t="s">
        <v>114</v>
      </c>
      <c r="K51" s="79"/>
      <c r="L51" s="58"/>
      <c r="N51" s="86"/>
      <c r="O51" s="70" t="str">
        <f>IF($O$52="-","-",$O$52-0.5)</f>
        <v>-</v>
      </c>
      <c r="P51" s="25" t="str">
        <f t="shared" si="7"/>
        <v>-</v>
      </c>
      <c r="Q51" s="25" t="str">
        <f t="shared" si="6"/>
        <v>-</v>
      </c>
      <c r="R51" s="25" t="str">
        <f t="shared" si="6"/>
        <v>-</v>
      </c>
      <c r="S51" s="25" t="str">
        <f t="shared" si="6"/>
        <v>-</v>
      </c>
      <c r="T51" s="25" t="str">
        <f t="shared" si="6"/>
        <v>-</v>
      </c>
      <c r="U51" s="25" t="str">
        <f t="shared" si="6"/>
        <v>-</v>
      </c>
      <c r="V51" s="25" t="str">
        <f t="shared" si="6"/>
        <v>-</v>
      </c>
    </row>
    <row r="52" spans="1:28" x14ac:dyDescent="0.35">
      <c r="B52" s="25"/>
      <c r="D52" s="11"/>
      <c r="G52" s="41"/>
      <c r="I52" s="11"/>
      <c r="K52" s="62"/>
      <c r="L52" s="58"/>
      <c r="N52" s="86"/>
      <c r="O52" s="70" t="str">
        <f>IF(H86=0,"-",H86)</f>
        <v>-</v>
      </c>
      <c r="P52" s="25" t="str">
        <f t="shared" si="7"/>
        <v>-</v>
      </c>
      <c r="Q52" s="25" t="str">
        <f t="shared" si="6"/>
        <v>-</v>
      </c>
      <c r="R52" s="25" t="str">
        <f t="shared" si="6"/>
        <v>-</v>
      </c>
      <c r="S52" s="25" t="str">
        <f t="shared" si="6"/>
        <v>-</v>
      </c>
      <c r="T52" s="25" t="str">
        <f t="shared" si="6"/>
        <v>-</v>
      </c>
      <c r="U52" s="25" t="str">
        <f t="shared" si="6"/>
        <v>-</v>
      </c>
      <c r="V52" s="25" t="str">
        <f t="shared" si="6"/>
        <v>-</v>
      </c>
    </row>
    <row r="53" spans="1:28" x14ac:dyDescent="0.35">
      <c r="B53" s="11"/>
      <c r="C53" s="11"/>
      <c r="D53" s="11"/>
      <c r="E53" s="11"/>
      <c r="F53" s="11"/>
      <c r="G53" s="11"/>
      <c r="H53" s="18"/>
      <c r="K53" s="22" t="s">
        <v>73</v>
      </c>
      <c r="L53" s="21" t="s">
        <v>64</v>
      </c>
      <c r="N53" s="86"/>
      <c r="O53" s="70" t="str">
        <f>IF($O$52="-","-",$O$52+0.5)</f>
        <v>-</v>
      </c>
      <c r="P53" s="25" t="str">
        <f t="shared" si="7"/>
        <v>-</v>
      </c>
      <c r="Q53" s="25" t="str">
        <f t="shared" si="6"/>
        <v>-</v>
      </c>
      <c r="R53" s="25" t="str">
        <f t="shared" si="6"/>
        <v>-</v>
      </c>
      <c r="S53" s="25" t="str">
        <f t="shared" si="6"/>
        <v>-</v>
      </c>
      <c r="T53" s="25" t="str">
        <f t="shared" si="6"/>
        <v>-</v>
      </c>
      <c r="U53" s="25" t="str">
        <f t="shared" si="6"/>
        <v>-</v>
      </c>
      <c r="V53" s="25" t="str">
        <f t="shared" si="6"/>
        <v>-</v>
      </c>
    </row>
    <row r="54" spans="1:28" x14ac:dyDescent="0.35">
      <c r="B54" s="11"/>
      <c r="C54" s="11"/>
      <c r="D54" s="11"/>
      <c r="E54" s="11"/>
      <c r="F54" s="11"/>
      <c r="G54" s="11"/>
      <c r="H54" s="11"/>
      <c r="I54" s="20" t="s">
        <v>46</v>
      </c>
      <c r="J54" s="20"/>
      <c r="K54" s="51">
        <f>SUMPRODUCT(B45:B50,D45:D50)</f>
        <v>24.4734944</v>
      </c>
      <c r="L54" s="55">
        <f>SUM(K45:K51)</f>
        <v>0</v>
      </c>
      <c r="N54" s="86"/>
      <c r="O54" s="70" t="str">
        <f>IF($O$52="-","-",$O$52+1)</f>
        <v>-</v>
      </c>
      <c r="P54" s="25" t="str">
        <f t="shared" si="7"/>
        <v>-</v>
      </c>
      <c r="Q54" s="25" t="str">
        <f t="shared" si="6"/>
        <v>-</v>
      </c>
      <c r="R54" s="25" t="str">
        <f t="shared" si="6"/>
        <v>-</v>
      </c>
      <c r="S54" s="25" t="str">
        <f t="shared" si="6"/>
        <v>-</v>
      </c>
      <c r="T54" s="25" t="str">
        <f t="shared" si="6"/>
        <v>-</v>
      </c>
      <c r="U54" s="25" t="str">
        <f t="shared" si="6"/>
        <v>-</v>
      </c>
      <c r="V54" s="25" t="str">
        <f t="shared" si="6"/>
        <v>-</v>
      </c>
    </row>
    <row r="55" spans="1:28" x14ac:dyDescent="0.35">
      <c r="B55" s="11"/>
      <c r="C55" s="11"/>
      <c r="D55" s="11"/>
      <c r="E55" s="11"/>
      <c r="F55" s="11"/>
      <c r="G55" s="11"/>
      <c r="H55" s="11"/>
      <c r="I55" s="11" t="s">
        <v>43</v>
      </c>
      <c r="J55" s="11"/>
      <c r="K55" s="37">
        <f>ROUNDDOWN((B45*2.4),0)</f>
        <v>11</v>
      </c>
      <c r="L55" s="37">
        <f>C77</f>
        <v>0</v>
      </c>
      <c r="N55" s="86"/>
      <c r="O55" s="70" t="str">
        <f>IF($O$52="-","-",$O$52+1.5)</f>
        <v>-</v>
      </c>
      <c r="P55" s="25" t="str">
        <f t="shared" si="7"/>
        <v>-</v>
      </c>
      <c r="Q55" s="25" t="str">
        <f t="shared" si="6"/>
        <v>-</v>
      </c>
      <c r="R55" s="25" t="str">
        <f t="shared" si="6"/>
        <v>-</v>
      </c>
      <c r="S55" s="25" t="str">
        <f t="shared" si="6"/>
        <v>-</v>
      </c>
      <c r="T55" s="25" t="str">
        <f t="shared" si="6"/>
        <v>-</v>
      </c>
      <c r="U55" s="25" t="str">
        <f t="shared" si="6"/>
        <v>-</v>
      </c>
      <c r="V55" s="25" t="str">
        <f t="shared" si="6"/>
        <v>-</v>
      </c>
    </row>
    <row r="56" spans="1:28" ht="15.75" customHeight="1" x14ac:dyDescent="0.35">
      <c r="B56" s="11"/>
      <c r="C56" s="11"/>
      <c r="D56" s="11"/>
      <c r="E56" s="11"/>
      <c r="F56" s="11"/>
      <c r="G56" s="11"/>
      <c r="H56" s="11"/>
      <c r="I56" s="11" t="s">
        <v>52</v>
      </c>
      <c r="J56" s="11"/>
      <c r="K56" s="53">
        <f>K54/K55</f>
        <v>2.2248631272727271</v>
      </c>
      <c r="L56" s="51" t="str">
        <f>IF(AND(L54&gt;0, L55&gt;0),(L54/L55), "-")</f>
        <v>-</v>
      </c>
      <c r="N56" s="69"/>
      <c r="P56" s="25"/>
      <c r="Q56" s="25"/>
      <c r="R56" s="25"/>
      <c r="S56" s="25"/>
      <c r="T56" s="25"/>
      <c r="U56" s="25"/>
      <c r="V56" s="25"/>
    </row>
    <row r="57" spans="1:28" ht="15.75" customHeight="1" x14ac:dyDescent="0.35"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47"/>
      <c r="N57" s="69"/>
      <c r="P57" s="25"/>
      <c r="Q57" s="25"/>
      <c r="R57" s="25"/>
      <c r="S57" s="25"/>
      <c r="T57" s="25"/>
      <c r="U57" s="25"/>
      <c r="V57" s="25"/>
    </row>
    <row r="58" spans="1:28" x14ac:dyDescent="0.35">
      <c r="A58" s="9" t="s">
        <v>31</v>
      </c>
      <c r="B58" s="11"/>
      <c r="C58" s="11"/>
      <c r="D58" s="11"/>
      <c r="E58" s="11"/>
      <c r="F58" s="34"/>
      <c r="G58" s="9" t="s">
        <v>87</v>
      </c>
      <c r="H58" s="9"/>
      <c r="I58" s="9" t="s">
        <v>94</v>
      </c>
      <c r="K58" s="21" t="s">
        <v>95</v>
      </c>
      <c r="L58" s="61"/>
      <c r="N58" s="38"/>
    </row>
    <row r="59" spans="1:28" x14ac:dyDescent="0.35">
      <c r="A59" t="s">
        <v>21</v>
      </c>
      <c r="B59" s="25">
        <v>4.8</v>
      </c>
      <c r="C59" t="s">
        <v>29</v>
      </c>
      <c r="D59" s="25">
        <v>1.4</v>
      </c>
      <c r="E59" t="s">
        <v>28</v>
      </c>
      <c r="F59" s="25"/>
      <c r="G59" s="43"/>
      <c r="H59" t="s">
        <v>29</v>
      </c>
      <c r="I59" s="43"/>
      <c r="J59" t="s">
        <v>28</v>
      </c>
      <c r="K59" s="62">
        <f t="shared" ref="K59:K65" si="8">G59*I59</f>
        <v>0</v>
      </c>
      <c r="L59" s="58" t="s">
        <v>12</v>
      </c>
    </row>
    <row r="60" spans="1:28" ht="15.5" x14ac:dyDescent="0.35">
      <c r="A60" t="s">
        <v>41</v>
      </c>
      <c r="B60" s="25">
        <f>B59</f>
        <v>4.8</v>
      </c>
      <c r="C60" t="s">
        <v>29</v>
      </c>
      <c r="D60" s="25">
        <v>0.7</v>
      </c>
      <c r="E60" t="s">
        <v>28</v>
      </c>
      <c r="F60" s="41"/>
      <c r="G60" s="43"/>
      <c r="H60" t="s">
        <v>29</v>
      </c>
      <c r="I60" s="43"/>
      <c r="J60" t="s">
        <v>28</v>
      </c>
      <c r="K60" s="62">
        <f t="shared" si="8"/>
        <v>0</v>
      </c>
      <c r="L60" s="58" t="s">
        <v>12</v>
      </c>
      <c r="N60" s="100" t="s">
        <v>118</v>
      </c>
      <c r="O60" s="100"/>
      <c r="P60" s="100"/>
      <c r="Q60" s="100"/>
      <c r="R60" s="100"/>
      <c r="S60" s="100"/>
      <c r="T60" s="100"/>
      <c r="U60" s="100"/>
      <c r="V60" s="100"/>
    </row>
    <row r="61" spans="1:28" ht="15.5" x14ac:dyDescent="0.35">
      <c r="A61" t="s">
        <v>44</v>
      </c>
      <c r="B61" s="25">
        <f>B59*0.1666</f>
        <v>0.79967999999999995</v>
      </c>
      <c r="C61" t="s">
        <v>29</v>
      </c>
      <c r="D61" s="25">
        <v>0.5</v>
      </c>
      <c r="E61" t="s">
        <v>28</v>
      </c>
      <c r="F61" s="41"/>
      <c r="G61" s="43"/>
      <c r="H61" t="s">
        <v>29</v>
      </c>
      <c r="I61" s="72"/>
      <c r="J61" t="s">
        <v>28</v>
      </c>
      <c r="K61" s="62">
        <f t="shared" si="8"/>
        <v>0</v>
      </c>
      <c r="L61" s="58" t="s">
        <v>12</v>
      </c>
      <c r="N61" s="35"/>
      <c r="O61" s="36"/>
      <c r="P61" s="95" t="s">
        <v>76</v>
      </c>
      <c r="Q61" s="95"/>
      <c r="R61" s="95"/>
      <c r="S61" s="95"/>
      <c r="T61" s="95"/>
      <c r="U61" s="95"/>
      <c r="V61" s="95"/>
    </row>
    <row r="62" spans="1:28" ht="14.5" customHeight="1" x14ac:dyDescent="0.35">
      <c r="A62" t="s">
        <v>27</v>
      </c>
      <c r="B62" s="25">
        <f>B59*0.1666</f>
        <v>0.79967999999999995</v>
      </c>
      <c r="C62" t="s">
        <v>29</v>
      </c>
      <c r="D62" s="25">
        <v>9</v>
      </c>
      <c r="E62" t="s">
        <v>28</v>
      </c>
      <c r="F62" s="41"/>
      <c r="G62" s="43"/>
      <c r="H62" t="s">
        <v>29</v>
      </c>
      <c r="I62" s="72"/>
      <c r="J62" t="s">
        <v>28</v>
      </c>
      <c r="K62" s="62">
        <f t="shared" si="8"/>
        <v>0</v>
      </c>
      <c r="L62" s="58" t="s">
        <v>12</v>
      </c>
      <c r="N62" s="87" t="s">
        <v>77</v>
      </c>
      <c r="O62" s="35"/>
      <c r="P62" s="70" t="str">
        <f>IF($S$62="-","-",($S$62-3))</f>
        <v>-</v>
      </c>
      <c r="Q62" s="70" t="str">
        <f>IF($S$62="-","-",($S$62-2))</f>
        <v>-</v>
      </c>
      <c r="R62" s="70" t="str">
        <f>IF($S$62="-","-",($S$62-1))</f>
        <v>-</v>
      </c>
      <c r="S62" s="70" t="str">
        <f>IF(H89=0,"-",H89)</f>
        <v>-</v>
      </c>
      <c r="T62" s="70" t="str">
        <f>IF($S$62="-","-",($S$62+1))</f>
        <v>-</v>
      </c>
      <c r="U62" s="70" t="str">
        <f>IF($S$62="-","-",($S$62+2))</f>
        <v>-</v>
      </c>
      <c r="V62" s="70" t="str">
        <f>IF($S$62="-","-",($S$62+3))</f>
        <v>-</v>
      </c>
    </row>
    <row r="63" spans="1:28" x14ac:dyDescent="0.35">
      <c r="A63" t="s">
        <v>26</v>
      </c>
      <c r="B63" s="41">
        <f>K70</f>
        <v>43</v>
      </c>
      <c r="C63" t="s">
        <v>30</v>
      </c>
      <c r="D63" s="25">
        <v>0.2</v>
      </c>
      <c r="E63" t="s">
        <v>50</v>
      </c>
      <c r="F63" s="41"/>
      <c r="G63" s="8"/>
      <c r="H63" t="s">
        <v>30</v>
      </c>
      <c r="I63" s="72"/>
      <c r="J63" t="s">
        <v>50</v>
      </c>
      <c r="K63" s="62">
        <f t="shared" si="8"/>
        <v>0</v>
      </c>
      <c r="L63" s="58" t="s">
        <v>12</v>
      </c>
      <c r="N63" s="87"/>
      <c r="O63" s="70" t="str">
        <f>IF($O$66="-","-",$O$66-3)</f>
        <v>-</v>
      </c>
      <c r="P63" s="25" t="str">
        <f>IF(AND($C$78&gt;0, $S$62&lt;&gt;"-",$O$66&lt;&gt;"-"),IF(((($D$91+$C$80)-(P$62*$C$76)-($O63*$C$77))/$C$78)&gt;0,((($D$91+$C$80)-(P$62*$C$76)-($O63*$C$77))/$C$78),"VC"),"-")</f>
        <v>-</v>
      </c>
      <c r="Q63" s="25" t="str">
        <f t="shared" ref="Q63:V69" si="9">IF(AND($C$78&gt;0, $S$62&lt;&gt;"-",$O$66&lt;&gt;"-"),IF(((($D$91+$C$80)-(Q$62*$C$76)-($O63*$C$77))/$C$78)&gt;0,((($D$91+$C$80)-(Q$62*$C$76)-($O63*$C$77))/$C$78),"VC"),"-")</f>
        <v>-</v>
      </c>
      <c r="R63" s="25" t="str">
        <f t="shared" si="9"/>
        <v>-</v>
      </c>
      <c r="S63" s="25" t="str">
        <f t="shared" si="9"/>
        <v>-</v>
      </c>
      <c r="T63" s="25" t="str">
        <f t="shared" si="9"/>
        <v>-</v>
      </c>
      <c r="U63" s="25" t="str">
        <f t="shared" si="9"/>
        <v>-</v>
      </c>
      <c r="V63" s="25" t="str">
        <f t="shared" si="9"/>
        <v>-</v>
      </c>
    </row>
    <row r="64" spans="1:28" ht="15.5" x14ac:dyDescent="0.35">
      <c r="A64" t="s">
        <v>48</v>
      </c>
      <c r="B64" s="11">
        <v>1</v>
      </c>
      <c r="C64" t="s">
        <v>13</v>
      </c>
      <c r="D64" s="11">
        <v>7.25</v>
      </c>
      <c r="E64" t="s">
        <v>124</v>
      </c>
      <c r="F64" s="41"/>
      <c r="G64" s="72"/>
      <c r="H64" t="s">
        <v>13</v>
      </c>
      <c r="I64" s="72"/>
      <c r="J64" t="s">
        <v>124</v>
      </c>
      <c r="K64" s="62">
        <f t="shared" si="8"/>
        <v>0</v>
      </c>
      <c r="L64" s="58" t="s">
        <v>12</v>
      </c>
      <c r="N64" s="87"/>
      <c r="O64" s="70" t="str">
        <f>IF($O$66="-","-",$O$66-2)</f>
        <v>-</v>
      </c>
      <c r="P64" s="25" t="str">
        <f t="shared" ref="P64:P69" si="10">IF(AND($C$78&gt;0, $S$62&lt;&gt;"-",$O$66&lt;&gt;"-"),IF(((($D$91+$C$80)-(P$62*$C$76)-($O64*$C$77))/$C$78)&gt;0,((($D$91+$C$80)-(P$62*$C$76)-($O64*$C$77))/$C$78),"VC"),"-")</f>
        <v>-</v>
      </c>
      <c r="Q64" s="25" t="str">
        <f t="shared" si="9"/>
        <v>-</v>
      </c>
      <c r="R64" s="25" t="str">
        <f t="shared" si="9"/>
        <v>-</v>
      </c>
      <c r="S64" s="25" t="str">
        <f t="shared" si="9"/>
        <v>-</v>
      </c>
      <c r="T64" s="25" t="str">
        <f t="shared" si="9"/>
        <v>-</v>
      </c>
      <c r="U64" s="25" t="str">
        <f t="shared" si="9"/>
        <v>-</v>
      </c>
      <c r="V64" s="25" t="str">
        <f t="shared" si="9"/>
        <v>-</v>
      </c>
      <c r="AB64" s="3"/>
    </row>
    <row r="65" spans="1:28" x14ac:dyDescent="0.35">
      <c r="A65" t="s">
        <v>49</v>
      </c>
      <c r="B65" s="11">
        <v>4</v>
      </c>
      <c r="C65" t="s">
        <v>51</v>
      </c>
      <c r="D65" s="11">
        <v>1.5E-3</v>
      </c>
      <c r="E65" t="s">
        <v>14</v>
      </c>
      <c r="F65" s="41"/>
      <c r="G65" s="72"/>
      <c r="H65" t="s">
        <v>51</v>
      </c>
      <c r="I65" s="5"/>
      <c r="J65" t="s">
        <v>14</v>
      </c>
      <c r="K65" s="62">
        <f t="shared" si="8"/>
        <v>0</v>
      </c>
      <c r="L65" s="58" t="s">
        <v>12</v>
      </c>
      <c r="N65" s="87"/>
      <c r="O65" s="70" t="str">
        <f>IF($O$66="-","-",$O$66-1)</f>
        <v>-</v>
      </c>
      <c r="P65" s="25" t="str">
        <f t="shared" si="10"/>
        <v>-</v>
      </c>
      <c r="Q65" s="25" t="str">
        <f t="shared" si="9"/>
        <v>-</v>
      </c>
      <c r="R65" s="25" t="str">
        <f t="shared" si="9"/>
        <v>-</v>
      </c>
      <c r="S65" s="25" t="str">
        <f t="shared" si="9"/>
        <v>-</v>
      </c>
      <c r="T65" s="25" t="str">
        <f t="shared" si="9"/>
        <v>-</v>
      </c>
      <c r="U65" s="25" t="str">
        <f t="shared" si="9"/>
        <v>-</v>
      </c>
      <c r="V65" s="25" t="str">
        <f t="shared" si="9"/>
        <v>-</v>
      </c>
    </row>
    <row r="66" spans="1:28" x14ac:dyDescent="0.35">
      <c r="B66" s="11"/>
      <c r="D66" s="11"/>
      <c r="F66" s="41"/>
      <c r="J66" t="s">
        <v>114</v>
      </c>
      <c r="K66" s="79"/>
      <c r="L66" s="58"/>
      <c r="N66" s="87"/>
      <c r="O66" s="70" t="str">
        <f>IF(H90=0,"-",H90)</f>
        <v>-</v>
      </c>
      <c r="P66" s="25" t="str">
        <f t="shared" si="10"/>
        <v>-</v>
      </c>
      <c r="Q66" s="25" t="str">
        <f t="shared" si="9"/>
        <v>-</v>
      </c>
      <c r="R66" s="25" t="str">
        <f t="shared" si="9"/>
        <v>-</v>
      </c>
      <c r="S66" s="25" t="str">
        <f t="shared" si="9"/>
        <v>-</v>
      </c>
      <c r="T66" s="25" t="str">
        <f t="shared" si="9"/>
        <v>-</v>
      </c>
      <c r="U66" s="25" t="str">
        <f t="shared" si="9"/>
        <v>-</v>
      </c>
      <c r="V66" s="25" t="str">
        <f t="shared" si="9"/>
        <v>-</v>
      </c>
    </row>
    <row r="67" spans="1:28" x14ac:dyDescent="0.35">
      <c r="B67" s="11"/>
      <c r="D67" s="11"/>
      <c r="F67" s="41"/>
      <c r="K67" s="62"/>
      <c r="L67" s="58"/>
      <c r="N67" s="87"/>
      <c r="O67" s="70" t="str">
        <f>IF($O$66="-","-",$O$66+1)</f>
        <v>-</v>
      </c>
      <c r="P67" s="25" t="str">
        <f t="shared" si="10"/>
        <v>-</v>
      </c>
      <c r="Q67" s="25" t="str">
        <f t="shared" si="9"/>
        <v>-</v>
      </c>
      <c r="R67" s="25" t="str">
        <f t="shared" si="9"/>
        <v>-</v>
      </c>
      <c r="S67" s="25" t="str">
        <f t="shared" si="9"/>
        <v>-</v>
      </c>
      <c r="T67" s="25" t="str">
        <f t="shared" si="9"/>
        <v>-</v>
      </c>
      <c r="U67" s="25" t="str">
        <f t="shared" si="9"/>
        <v>-</v>
      </c>
      <c r="V67" s="25" t="str">
        <f t="shared" si="9"/>
        <v>-</v>
      </c>
    </row>
    <row r="68" spans="1:28" x14ac:dyDescent="0.35">
      <c r="F68" s="11"/>
      <c r="G68" s="11"/>
      <c r="H68" s="11"/>
      <c r="K68" s="22" t="s">
        <v>73</v>
      </c>
      <c r="L68" s="67" t="s">
        <v>64</v>
      </c>
      <c r="N68" s="87"/>
      <c r="O68" s="70" t="str">
        <f>IF($O$66="-","-",$O$66+2)</f>
        <v>-</v>
      </c>
      <c r="P68" s="25" t="str">
        <f t="shared" si="10"/>
        <v>-</v>
      </c>
      <c r="Q68" s="25" t="str">
        <f t="shared" si="9"/>
        <v>-</v>
      </c>
      <c r="R68" s="25" t="str">
        <f t="shared" si="9"/>
        <v>-</v>
      </c>
      <c r="S68" s="25" t="str">
        <f t="shared" si="9"/>
        <v>-</v>
      </c>
      <c r="T68" s="25" t="str">
        <f t="shared" si="9"/>
        <v>-</v>
      </c>
      <c r="U68" s="25" t="str">
        <f t="shared" si="9"/>
        <v>-</v>
      </c>
      <c r="V68" s="25" t="str">
        <f t="shared" si="9"/>
        <v>-</v>
      </c>
    </row>
    <row r="69" spans="1:28" x14ac:dyDescent="0.35">
      <c r="G69" s="11"/>
      <c r="H69" s="11"/>
      <c r="I69" s="20" t="s">
        <v>101</v>
      </c>
      <c r="J69" s="20"/>
      <c r="K69" s="51">
        <f>SUMPRODUCT(B59:B65,D59:D65)</f>
        <v>33.532960000000003</v>
      </c>
      <c r="L69" s="63">
        <f>SUM(K59:K65)</f>
        <v>0</v>
      </c>
      <c r="N69" s="87"/>
      <c r="O69" s="70" t="str">
        <f>IF($O$66="-","-",$O$66+3)</f>
        <v>-</v>
      </c>
      <c r="P69" s="25" t="str">
        <f t="shared" si="10"/>
        <v>-</v>
      </c>
      <c r="Q69" s="25" t="str">
        <f t="shared" si="9"/>
        <v>-</v>
      </c>
      <c r="R69" s="25" t="str">
        <f t="shared" si="9"/>
        <v>-</v>
      </c>
      <c r="S69" s="25" t="str">
        <f t="shared" si="9"/>
        <v>-</v>
      </c>
      <c r="T69" s="25" t="str">
        <f t="shared" si="9"/>
        <v>-</v>
      </c>
      <c r="U69" s="25" t="str">
        <f t="shared" si="9"/>
        <v>-</v>
      </c>
      <c r="V69" s="25" t="str">
        <f t="shared" si="9"/>
        <v>-</v>
      </c>
    </row>
    <row r="70" spans="1:28" x14ac:dyDescent="0.35">
      <c r="G70" s="11"/>
      <c r="H70" s="11"/>
      <c r="I70" s="11" t="s">
        <v>102</v>
      </c>
      <c r="J70" s="11"/>
      <c r="K70" s="37">
        <f>ROUNDDOWN((B59*9),0)</f>
        <v>43</v>
      </c>
      <c r="L70" s="76">
        <f>C78</f>
        <v>0</v>
      </c>
      <c r="N70" s="71"/>
      <c r="P70" s="25"/>
      <c r="Q70" s="25"/>
      <c r="R70" s="25"/>
      <c r="S70" s="25"/>
      <c r="T70" s="25"/>
      <c r="U70" s="25"/>
      <c r="V70" s="25"/>
    </row>
    <row r="71" spans="1:28" x14ac:dyDescent="0.35">
      <c r="G71" s="11"/>
      <c r="H71" s="11"/>
      <c r="I71" s="11" t="s">
        <v>103</v>
      </c>
      <c r="J71" s="11"/>
      <c r="K71" s="53">
        <f>K69/K70</f>
        <v>0.77983627906976749</v>
      </c>
      <c r="L71" s="64" t="str">
        <f>IF(AND(L69&gt;0, L70&gt;0),(L69/L70), "-")</f>
        <v>-</v>
      </c>
      <c r="N71" s="71"/>
      <c r="P71" s="25"/>
      <c r="Q71" s="25"/>
      <c r="R71" s="25"/>
      <c r="S71" s="25"/>
      <c r="T71" s="25"/>
      <c r="U71" s="25"/>
      <c r="V71" s="25"/>
    </row>
    <row r="72" spans="1:28" ht="15.75" customHeight="1" x14ac:dyDescent="0.35">
      <c r="J72" s="54"/>
      <c r="K72" s="22" t="s">
        <v>99</v>
      </c>
      <c r="L72" s="21" t="s">
        <v>98</v>
      </c>
      <c r="M72" s="9"/>
    </row>
    <row r="73" spans="1:28" ht="15" customHeight="1" x14ac:dyDescent="0.35">
      <c r="I73" s="20"/>
      <c r="J73" s="20"/>
      <c r="K73" s="53">
        <f>SUM(K41,K54,K69)</f>
        <v>372.13745439999997</v>
      </c>
      <c r="L73" s="51">
        <f>L41+L54+L69</f>
        <v>0</v>
      </c>
      <c r="M73" s="18"/>
    </row>
    <row r="74" spans="1:28" x14ac:dyDescent="0.35">
      <c r="J74" s="20"/>
      <c r="K74" s="13"/>
    </row>
    <row r="75" spans="1:28" x14ac:dyDescent="0.35">
      <c r="B75" s="23" t="s">
        <v>73</v>
      </c>
      <c r="C75" s="23" t="s">
        <v>64</v>
      </c>
    </row>
    <row r="76" spans="1:28" x14ac:dyDescent="0.35">
      <c r="A76" s="9" t="s">
        <v>108</v>
      </c>
      <c r="B76" s="18">
        <f>J13*2</f>
        <v>80</v>
      </c>
      <c r="C76" s="59"/>
      <c r="D76" s="39"/>
    </row>
    <row r="77" spans="1:28" x14ac:dyDescent="0.35">
      <c r="A77" s="9" t="s">
        <v>106</v>
      </c>
      <c r="B77" s="60">
        <f>K55</f>
        <v>11</v>
      </c>
      <c r="C77" s="59"/>
      <c r="D77" s="39"/>
    </row>
    <row r="78" spans="1:28" x14ac:dyDescent="0.35">
      <c r="A78" s="9" t="s">
        <v>107</v>
      </c>
      <c r="B78" s="60">
        <f>K70</f>
        <v>43</v>
      </c>
      <c r="C78" s="59"/>
      <c r="D78" s="39"/>
      <c r="AB78" s="1"/>
    </row>
    <row r="79" spans="1:28" x14ac:dyDescent="0.35">
      <c r="A79" s="16" t="s">
        <v>9</v>
      </c>
      <c r="B79" s="48">
        <f>K32</f>
        <v>1114.55</v>
      </c>
      <c r="C79" s="48">
        <f>L32</f>
        <v>684.2</v>
      </c>
      <c r="D79" s="14"/>
    </row>
    <row r="80" spans="1:28" x14ac:dyDescent="0.35">
      <c r="A80" s="16" t="s">
        <v>10</v>
      </c>
      <c r="B80" s="48">
        <f>K73</f>
        <v>372.13745439999997</v>
      </c>
      <c r="C80" s="48">
        <f>L73</f>
        <v>0</v>
      </c>
      <c r="D80" s="14"/>
    </row>
    <row r="81" spans="1:11" x14ac:dyDescent="0.35">
      <c r="A81" s="16" t="s">
        <v>5</v>
      </c>
      <c r="B81" s="49">
        <f>SUM(B79,B80)</f>
        <v>1486.6874544</v>
      </c>
      <c r="C81" s="49">
        <f>SUM(C79:C80)</f>
        <v>684.2</v>
      </c>
      <c r="D81" s="15"/>
    </row>
    <row r="82" spans="1:11" x14ac:dyDescent="0.35">
      <c r="A82" s="9"/>
      <c r="B82" s="15"/>
      <c r="C82" s="15"/>
      <c r="D82" s="15"/>
    </row>
    <row r="83" spans="1:11" x14ac:dyDescent="0.35">
      <c r="A83" s="9"/>
      <c r="B83" s="13"/>
      <c r="C83" s="13"/>
      <c r="D83" s="13"/>
    </row>
    <row r="84" spans="1:11" ht="15.75" customHeight="1" x14ac:dyDescent="0.35">
      <c r="A84" s="94" t="s">
        <v>97</v>
      </c>
      <c r="B84" s="94"/>
      <c r="C84" s="16" t="s">
        <v>73</v>
      </c>
      <c r="D84" s="45" t="s">
        <v>64</v>
      </c>
      <c r="E84" s="96" t="s">
        <v>83</v>
      </c>
      <c r="F84" s="96"/>
      <c r="G84" s="66" t="s">
        <v>73</v>
      </c>
      <c r="H84" s="77" t="s">
        <v>65</v>
      </c>
    </row>
    <row r="85" spans="1:11" ht="15" customHeight="1" x14ac:dyDescent="0.35">
      <c r="A85" s="18" t="s">
        <v>37</v>
      </c>
      <c r="B85" s="18"/>
      <c r="C85" s="74">
        <v>0.1</v>
      </c>
      <c r="D85" s="56"/>
      <c r="E85" s="9" t="s">
        <v>56</v>
      </c>
      <c r="F85" s="9"/>
      <c r="G85" s="42">
        <v>8</v>
      </c>
      <c r="H85" s="83"/>
    </row>
    <row r="86" spans="1:11" x14ac:dyDescent="0.35">
      <c r="A86" t="s">
        <v>119</v>
      </c>
      <c r="C86" s="57">
        <f>(B79-0)/5</f>
        <v>222.91</v>
      </c>
      <c r="D86" s="57">
        <f>(C79-0)/5</f>
        <v>136.84</v>
      </c>
      <c r="E86" s="9" t="s">
        <v>57</v>
      </c>
      <c r="F86" s="9"/>
      <c r="G86" s="42">
        <v>5</v>
      </c>
      <c r="H86" s="84"/>
    </row>
    <row r="87" spans="1:11" x14ac:dyDescent="0.35">
      <c r="A87" t="s">
        <v>54</v>
      </c>
      <c r="C87" s="57">
        <f>((B79+0)/2)*C85</f>
        <v>55.727499999999999</v>
      </c>
      <c r="D87" s="57">
        <f>((C79+0)/2)*D85</f>
        <v>0</v>
      </c>
      <c r="E87" s="16" t="s">
        <v>58</v>
      </c>
      <c r="F87" s="16"/>
      <c r="G87" s="42">
        <f>IF(S28&gt;K56,S28,"Charge Variable Cost")</f>
        <v>13.772950400000003</v>
      </c>
      <c r="H87" s="101" t="str">
        <f>IF(OR(C76="", C77="",C78=""),"-",IF(S52&lt;&gt;"VC",S52,"Charge Variable Cost"))</f>
        <v>-</v>
      </c>
      <c r="I87" s="101"/>
      <c r="J87" s="9" t="str">
        <f>IF(J88="","","Variable Cost")</f>
        <v/>
      </c>
    </row>
    <row r="88" spans="1:11" x14ac:dyDescent="0.35">
      <c r="A88" t="s">
        <v>53</v>
      </c>
      <c r="C88" s="57">
        <f>B79*0.05</f>
        <v>55.727499999999999</v>
      </c>
      <c r="D88" s="57">
        <f>C79*0.05</f>
        <v>34.21</v>
      </c>
      <c r="G88" s="78"/>
      <c r="H88" s="17"/>
      <c r="J88" s="1" t="str">
        <f>IF(H87="Charge Variable Cost",L56,"")</f>
        <v/>
      </c>
    </row>
    <row r="89" spans="1:11" x14ac:dyDescent="0.35">
      <c r="A89" t="s">
        <v>55</v>
      </c>
      <c r="C89" s="57">
        <v>0</v>
      </c>
      <c r="D89" s="57">
        <v>0</v>
      </c>
      <c r="E89" s="9" t="s">
        <v>56</v>
      </c>
      <c r="F89" s="9"/>
      <c r="G89" s="42">
        <v>8</v>
      </c>
      <c r="H89" s="83"/>
    </row>
    <row r="90" spans="1:11" x14ac:dyDescent="0.35">
      <c r="A90" t="s">
        <v>61</v>
      </c>
      <c r="C90" s="57">
        <v>300</v>
      </c>
      <c r="D90" s="73"/>
      <c r="E90" s="9" t="s">
        <v>60</v>
      </c>
      <c r="F90" s="9"/>
      <c r="G90" s="42">
        <v>15</v>
      </c>
      <c r="H90" s="83"/>
    </row>
    <row r="91" spans="1:11" x14ac:dyDescent="0.35">
      <c r="A91" s="9" t="s">
        <v>82</v>
      </c>
      <c r="B91" s="9"/>
      <c r="C91" s="57">
        <f>SUM(C86:C90)</f>
        <v>634.36500000000001</v>
      </c>
      <c r="D91" s="57">
        <f>SUM(D86:D90)</f>
        <v>171.05</v>
      </c>
      <c r="E91" s="16" t="s">
        <v>59</v>
      </c>
      <c r="F91" s="16"/>
      <c r="G91" s="42">
        <f>IF(S39&gt;K71,S39,"Charge Variable Cost")</f>
        <v>4.6861035906976749</v>
      </c>
      <c r="H91" s="48" t="str">
        <f>IF(OR(C76="", C77="",C78=""),"-",IF(S66&lt;&gt;"VC",S66,"Charge Variable Cost"))</f>
        <v>-</v>
      </c>
      <c r="J91" s="9" t="str">
        <f>IF(J92="","","Variable Cost")</f>
        <v/>
      </c>
    </row>
    <row r="92" spans="1:11" x14ac:dyDescent="0.35">
      <c r="J92" s="1" t="str">
        <f>IF(H91="Charge Variable Cost",L71,"")</f>
        <v/>
      </c>
    </row>
    <row r="94" spans="1:11" x14ac:dyDescent="0.35">
      <c r="I94" s="9"/>
    </row>
    <row r="95" spans="1:11" x14ac:dyDescent="0.35">
      <c r="A95" s="89" t="s">
        <v>45</v>
      </c>
      <c r="B95" s="89"/>
      <c r="C95" s="89"/>
      <c r="D95" s="89"/>
      <c r="E95" s="89"/>
      <c r="F95" s="89"/>
      <c r="G95" s="9"/>
      <c r="H95" s="9"/>
      <c r="J95" s="9"/>
      <c r="K95" s="9"/>
    </row>
    <row r="96" spans="1:11" x14ac:dyDescent="0.35">
      <c r="A96" s="9"/>
      <c r="B96" s="9"/>
      <c r="C96" s="9"/>
      <c r="D96" s="9"/>
      <c r="E96" s="9"/>
    </row>
    <row r="97" spans="1:8" x14ac:dyDescent="0.35">
      <c r="B97" s="9" t="s">
        <v>7</v>
      </c>
      <c r="C97" s="9"/>
      <c r="D97" s="9" t="s">
        <v>47</v>
      </c>
      <c r="F97" s="20" t="s">
        <v>24</v>
      </c>
      <c r="G97" s="20"/>
      <c r="H97" s="20"/>
    </row>
    <row r="98" spans="1:8" x14ac:dyDescent="0.35">
      <c r="A98" t="s">
        <v>6</v>
      </c>
      <c r="B98" s="4"/>
      <c r="C98" s="11"/>
      <c r="D98" s="4"/>
      <c r="E98" t="s">
        <v>33</v>
      </c>
      <c r="F98" s="11">
        <f>B98*D98</f>
        <v>0</v>
      </c>
      <c r="G98" s="11"/>
      <c r="H98" s="11"/>
    </row>
    <row r="99" spans="1:8" x14ac:dyDescent="0.35">
      <c r="A99" t="s">
        <v>22</v>
      </c>
      <c r="B99" s="5"/>
      <c r="C99" s="11"/>
      <c r="D99" s="5"/>
      <c r="E99" t="s">
        <v>34</v>
      </c>
      <c r="F99" s="11">
        <f>B99*D99</f>
        <v>0</v>
      </c>
      <c r="G99" s="11"/>
      <c r="H99" s="11"/>
    </row>
    <row r="100" spans="1:8" x14ac:dyDescent="0.35">
      <c r="A100" t="s">
        <v>31</v>
      </c>
      <c r="B100" s="5"/>
      <c r="C100" s="11"/>
      <c r="D100" s="5"/>
      <c r="E100" t="s">
        <v>35</v>
      </c>
      <c r="F100" s="11">
        <f>B100*D100</f>
        <v>0</v>
      </c>
      <c r="G100" s="11"/>
      <c r="H100" s="11"/>
    </row>
    <row r="102" spans="1:8" x14ac:dyDescent="0.35">
      <c r="A102" s="16" t="s">
        <v>8</v>
      </c>
      <c r="B102" s="19" t="str">
        <f>IF(SUM(F98:F100)=0,"",SUM(F98:F100))</f>
        <v/>
      </c>
      <c r="C102" s="20"/>
      <c r="D102" s="20"/>
    </row>
    <row r="103" spans="1:8" x14ac:dyDescent="0.35">
      <c r="A103" s="16" t="s">
        <v>86</v>
      </c>
      <c r="B103" s="19" t="str">
        <f>IF(SUM(F98:F100)=0,"",B102-C81)</f>
        <v/>
      </c>
      <c r="C103" s="20"/>
      <c r="D103" s="20"/>
    </row>
    <row r="104" spans="1:8" x14ac:dyDescent="0.35">
      <c r="A104" s="16" t="s">
        <v>100</v>
      </c>
      <c r="B104" s="40" t="str">
        <f>IF(SUM(F98:F100)=0,"",B102-(D91+C80))</f>
        <v/>
      </c>
    </row>
    <row r="105" spans="1:8" x14ac:dyDescent="0.35">
      <c r="A105" s="9"/>
    </row>
  </sheetData>
  <sheetProtection algorithmName="SHA-512" hashValue="1Kv7/2Tv+KgDWDYiDQC22x5Dt+11s6AbTjnJCkznkolyh32ZuBtel/PLbdi6iVKmDrum3/SLm3fDPjkxf4qv5g==" saltValue="xVx5w7V1YCgikpdeBvZIbw==" spinCount="100000" sheet="1" objects="1" scenarios="1"/>
  <mergeCells count="38">
    <mergeCell ref="H87:I87"/>
    <mergeCell ref="F43:K43"/>
    <mergeCell ref="E84:F84"/>
    <mergeCell ref="P47:V47"/>
    <mergeCell ref="N46:V46"/>
    <mergeCell ref="N44:V44"/>
    <mergeCell ref="A95:F95"/>
    <mergeCell ref="A84:B84"/>
    <mergeCell ref="P61:V61"/>
    <mergeCell ref="A1:L1"/>
    <mergeCell ref="I6:J6"/>
    <mergeCell ref="G17:I17"/>
    <mergeCell ref="B13:C13"/>
    <mergeCell ref="F14:G14"/>
    <mergeCell ref="B5:D5"/>
    <mergeCell ref="F5:I5"/>
    <mergeCell ref="G16:I16"/>
    <mergeCell ref="A3:J3"/>
    <mergeCell ref="J2:K2"/>
    <mergeCell ref="K16:L16"/>
    <mergeCell ref="N60:V60"/>
    <mergeCell ref="N35:N42"/>
    <mergeCell ref="F13:G13"/>
    <mergeCell ref="N48:N55"/>
    <mergeCell ref="N62:N69"/>
    <mergeCell ref="N19:V19"/>
    <mergeCell ref="B19:E19"/>
    <mergeCell ref="F19:K19"/>
    <mergeCell ref="F27:K27"/>
    <mergeCell ref="F34:K34"/>
    <mergeCell ref="B27:E27"/>
    <mergeCell ref="B34:E34"/>
    <mergeCell ref="N24:N31"/>
    <mergeCell ref="O22:V22"/>
    <mergeCell ref="P33:V33"/>
    <mergeCell ref="P23:V23"/>
    <mergeCell ref="P34:V34"/>
    <mergeCell ref="B43:E43"/>
  </mergeCells>
  <hyperlinks>
    <hyperlink ref="A3:I3" r:id="rId1" display="Enter number from cell G44 on Fact Sheet AGEC-2002" xr:uid="{00000000-0004-0000-0000-000000000000}"/>
  </hyperlinks>
  <pageMargins left="0.7" right="0.7" top="0.75" bottom="0.75" header="0.3" footer="0.3"/>
  <pageSetup scale="32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5"/>
  <sheetViews>
    <sheetView showGridLines="0" zoomScale="73" zoomScaleNormal="73" workbookViewId="0">
      <selection activeCell="L3" sqref="L3"/>
    </sheetView>
  </sheetViews>
  <sheetFormatPr defaultRowHeight="14.5" x14ac:dyDescent="0.35"/>
  <cols>
    <col min="1" max="1" width="37.453125" bestFit="1" customWidth="1"/>
    <col min="2" max="2" width="17" bestFit="1" customWidth="1"/>
    <col min="3" max="3" width="16.81640625" bestFit="1" customWidth="1"/>
    <col min="4" max="4" width="19.453125" bestFit="1" customWidth="1"/>
    <col min="5" max="5" width="15.453125" bestFit="1" customWidth="1"/>
    <col min="6" max="6" width="20.1796875" bestFit="1" customWidth="1"/>
    <col min="7" max="7" width="17.54296875" customWidth="1"/>
    <col min="8" max="8" width="12.7265625" customWidth="1"/>
    <col min="9" max="9" width="20.453125" customWidth="1"/>
    <col min="10" max="10" width="11.453125" customWidth="1"/>
    <col min="11" max="11" width="11.81640625" customWidth="1"/>
    <col min="12" max="12" width="21.453125" customWidth="1"/>
    <col min="13" max="13" width="20.7265625" customWidth="1"/>
    <col min="14" max="14" width="6.1796875" bestFit="1" customWidth="1"/>
    <col min="15" max="15" width="9.1796875" bestFit="1" customWidth="1"/>
    <col min="16" max="16" width="10" customWidth="1"/>
    <col min="17" max="19" width="9.54296875" customWidth="1"/>
    <col min="20" max="20" width="8.81640625" customWidth="1"/>
    <col min="21" max="21" width="8.453125" bestFit="1" customWidth="1"/>
    <col min="22" max="22" width="9.1796875" bestFit="1" customWidth="1"/>
    <col min="23" max="23" width="7.26953125" customWidth="1"/>
    <col min="24" max="24" width="6.81640625" bestFit="1" customWidth="1"/>
    <col min="25" max="25" width="8" customWidth="1"/>
  </cols>
  <sheetData>
    <row r="1" spans="1:13" x14ac:dyDescent="0.35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x14ac:dyDescent="0.35">
      <c r="A2" s="9"/>
      <c r="B2" s="9"/>
      <c r="C2" s="9"/>
      <c r="D2" s="9"/>
      <c r="E2" s="9"/>
      <c r="J2" s="85" t="s">
        <v>89</v>
      </c>
      <c r="K2" s="85"/>
      <c r="L2" s="23" t="s">
        <v>90</v>
      </c>
    </row>
    <row r="3" spans="1:13" x14ac:dyDescent="0.35">
      <c r="A3" s="98" t="s">
        <v>104</v>
      </c>
      <c r="B3" s="98"/>
      <c r="C3" s="98"/>
      <c r="D3" s="98"/>
      <c r="E3" s="98"/>
      <c r="F3" s="98"/>
      <c r="G3" s="98"/>
      <c r="H3" s="98"/>
      <c r="I3" s="98"/>
      <c r="J3" s="98"/>
      <c r="K3" s="25">
        <v>684.2</v>
      </c>
      <c r="L3" s="4"/>
    </row>
    <row r="4" spans="1:13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3" x14ac:dyDescent="0.35">
      <c r="A5" s="10"/>
      <c r="B5" s="89" t="s">
        <v>63</v>
      </c>
      <c r="C5" s="89"/>
      <c r="D5" s="89"/>
      <c r="E5" s="65"/>
      <c r="F5" s="89" t="s">
        <v>65</v>
      </c>
      <c r="G5" s="89"/>
      <c r="H5" s="89"/>
      <c r="I5" s="89"/>
      <c r="J5" s="10"/>
      <c r="K5" s="10"/>
      <c r="L5" s="10"/>
      <c r="M5" s="9"/>
    </row>
    <row r="6" spans="1:13" x14ac:dyDescent="0.35">
      <c r="A6" s="9"/>
      <c r="B6" s="11" t="s">
        <v>20</v>
      </c>
      <c r="D6" s="11" t="s">
        <v>120</v>
      </c>
      <c r="F6" s="11" t="s">
        <v>20</v>
      </c>
      <c r="G6" t="s">
        <v>121</v>
      </c>
      <c r="I6" s="97" t="s">
        <v>120</v>
      </c>
      <c r="J6" s="97"/>
      <c r="K6" s="20"/>
    </row>
    <row r="7" spans="1:13" x14ac:dyDescent="0.35">
      <c r="A7" t="s">
        <v>11</v>
      </c>
      <c r="B7" s="11">
        <v>0</v>
      </c>
      <c r="D7" s="12">
        <f>B7*6</f>
        <v>0</v>
      </c>
      <c r="E7" s="12"/>
      <c r="F7" s="6"/>
      <c r="G7" s="11">
        <f>F7*6</f>
        <v>0</v>
      </c>
      <c r="H7" s="11"/>
      <c r="I7" s="6"/>
      <c r="J7" s="12"/>
      <c r="K7" s="11"/>
    </row>
    <row r="8" spans="1:13" x14ac:dyDescent="0.35">
      <c r="A8" t="s">
        <v>18</v>
      </c>
      <c r="B8" s="11">
        <v>10</v>
      </c>
      <c r="D8" s="12">
        <f>B8*4</f>
        <v>40</v>
      </c>
      <c r="E8" s="12"/>
      <c r="F8" s="7"/>
      <c r="G8" s="11">
        <f>F8*4</f>
        <v>0</v>
      </c>
      <c r="H8" s="11"/>
      <c r="I8" s="6"/>
      <c r="J8" s="12"/>
      <c r="K8" s="11"/>
    </row>
    <row r="9" spans="1:13" x14ac:dyDescent="0.35">
      <c r="A9" t="s">
        <v>19</v>
      </c>
      <c r="B9" s="11">
        <v>0</v>
      </c>
      <c r="D9" s="12">
        <f>B9*3</f>
        <v>0</v>
      </c>
      <c r="E9" s="12"/>
      <c r="F9" s="7"/>
      <c r="G9" s="11">
        <f>F9*3</f>
        <v>0</v>
      </c>
      <c r="H9" s="11"/>
      <c r="I9" s="6"/>
      <c r="J9" s="12"/>
      <c r="K9" s="11"/>
    </row>
    <row r="11" spans="1:13" x14ac:dyDescent="0.35">
      <c r="B11" s="9" t="s">
        <v>72</v>
      </c>
      <c r="C11" s="9"/>
      <c r="D11" s="20">
        <f>SUM(D7:D9)</f>
        <v>40</v>
      </c>
      <c r="F11" s="9" t="s">
        <v>24</v>
      </c>
      <c r="G11" s="20">
        <f>SUM(G7:G9)</f>
        <v>0</v>
      </c>
      <c r="H11" s="20"/>
      <c r="I11" s="20">
        <f>SUM(I7:I9)</f>
        <v>0</v>
      </c>
    </row>
    <row r="12" spans="1:13" x14ac:dyDescent="0.35">
      <c r="B12" s="9"/>
      <c r="C12" s="9"/>
      <c r="D12" s="20"/>
      <c r="F12" s="9"/>
      <c r="G12" s="9"/>
      <c r="H12" s="9"/>
      <c r="I12" s="20"/>
    </row>
    <row r="13" spans="1:13" x14ac:dyDescent="0.35">
      <c r="B13" s="85" t="s">
        <v>110</v>
      </c>
      <c r="C13" s="85"/>
      <c r="D13" s="18">
        <f>((J13*1.5)/100)*16</f>
        <v>9.6</v>
      </c>
      <c r="F13" s="85" t="s">
        <v>111</v>
      </c>
      <c r="G13" s="85"/>
      <c r="H13" s="11">
        <f>((G11*1.5)/100)*16</f>
        <v>0</v>
      </c>
      <c r="I13" s="21" t="s">
        <v>122</v>
      </c>
      <c r="J13" s="11">
        <f>D11</f>
        <v>40</v>
      </c>
      <c r="K13" s="11"/>
    </row>
    <row r="14" spans="1:13" x14ac:dyDescent="0.35">
      <c r="F14" s="85" t="s">
        <v>38</v>
      </c>
      <c r="G14" s="85"/>
      <c r="H14" s="4"/>
      <c r="I14" s="21" t="s">
        <v>123</v>
      </c>
      <c r="J14" s="13">
        <f>IF(I11=0,G11,I11)</f>
        <v>0</v>
      </c>
      <c r="K14" s="13"/>
    </row>
    <row r="15" spans="1:13" x14ac:dyDescent="0.35">
      <c r="E15" s="20"/>
      <c r="F15" s="20"/>
      <c r="I15" s="9"/>
      <c r="J15" s="13"/>
      <c r="K15" s="13"/>
      <c r="L15" s="11"/>
      <c r="M15" s="11"/>
    </row>
    <row r="16" spans="1:13" x14ac:dyDescent="0.35">
      <c r="E16" s="20"/>
      <c r="F16" s="20"/>
      <c r="G16" s="85" t="s">
        <v>113</v>
      </c>
      <c r="H16" s="85"/>
      <c r="I16" s="85"/>
      <c r="J16" s="4"/>
      <c r="K16" s="99" t="str">
        <f>IF(J17+J16&gt;H14,"Insufficient Wax","")</f>
        <v/>
      </c>
      <c r="L16" s="99"/>
      <c r="M16" s="11"/>
    </row>
    <row r="17" spans="1:24" x14ac:dyDescent="0.35">
      <c r="E17" s="20"/>
      <c r="F17" s="20"/>
      <c r="G17" s="85" t="s">
        <v>70</v>
      </c>
      <c r="H17" s="85"/>
      <c r="I17" s="85"/>
      <c r="J17" s="5"/>
      <c r="K17" s="11"/>
      <c r="L17" s="11"/>
      <c r="M17" s="11"/>
    </row>
    <row r="19" spans="1:24" ht="15.5" x14ac:dyDescent="0.35">
      <c r="A19" s="10" t="s">
        <v>67</v>
      </c>
      <c r="B19" s="89" t="s">
        <v>63</v>
      </c>
      <c r="C19" s="89"/>
      <c r="D19" s="89"/>
      <c r="E19" s="89"/>
      <c r="F19" s="89" t="s">
        <v>64</v>
      </c>
      <c r="G19" s="89"/>
      <c r="H19" s="89"/>
      <c r="I19" s="89"/>
      <c r="J19" s="89"/>
      <c r="K19" s="89"/>
      <c r="L19" s="65"/>
      <c r="N19" s="88" t="s">
        <v>74</v>
      </c>
      <c r="O19" s="88"/>
      <c r="P19" s="88"/>
      <c r="Q19" s="88"/>
      <c r="R19" s="88"/>
      <c r="S19" s="88"/>
      <c r="T19" s="88"/>
      <c r="U19" s="88"/>
      <c r="V19" s="88"/>
      <c r="W19" s="3"/>
      <c r="X19" s="3"/>
    </row>
    <row r="20" spans="1:24" x14ac:dyDescent="0.35">
      <c r="A20" s="9"/>
      <c r="B20" s="20" t="s">
        <v>84</v>
      </c>
      <c r="C20" s="9"/>
      <c r="D20" s="20" t="s">
        <v>112</v>
      </c>
      <c r="E20" s="9"/>
      <c r="G20" s="20" t="s">
        <v>85</v>
      </c>
      <c r="H20" s="20"/>
      <c r="I20" s="9" t="s">
        <v>94</v>
      </c>
      <c r="J20" s="20"/>
      <c r="K20" s="21" t="s">
        <v>95</v>
      </c>
      <c r="L20" s="13"/>
    </row>
    <row r="21" spans="1:24" x14ac:dyDescent="0.35">
      <c r="A21" t="s">
        <v>0</v>
      </c>
      <c r="B21" s="11">
        <v>1</v>
      </c>
      <c r="C21" t="s">
        <v>23</v>
      </c>
      <c r="D21" s="25">
        <v>254</v>
      </c>
      <c r="E21" t="s">
        <v>12</v>
      </c>
      <c r="G21" s="4"/>
      <c r="I21" s="43"/>
      <c r="J21" t="s">
        <v>12</v>
      </c>
      <c r="K21" s="52">
        <f t="shared" ref="K21:K26" si="0">G21*I21</f>
        <v>0</v>
      </c>
      <c r="L21" t="s">
        <v>12</v>
      </c>
    </row>
    <row r="22" spans="1:24" ht="15.5" x14ac:dyDescent="0.35">
      <c r="A22" t="s">
        <v>1</v>
      </c>
      <c r="B22" s="11">
        <v>1</v>
      </c>
      <c r="C22" t="s">
        <v>23</v>
      </c>
      <c r="D22" s="25">
        <v>75</v>
      </c>
      <c r="E22" t="s">
        <v>12</v>
      </c>
      <c r="G22" s="4"/>
      <c r="I22" s="43"/>
      <c r="J22" t="s">
        <v>12</v>
      </c>
      <c r="K22" s="52">
        <f t="shared" si="0"/>
        <v>0</v>
      </c>
      <c r="L22" t="s">
        <v>12</v>
      </c>
      <c r="N22" s="44" t="s">
        <v>80</v>
      </c>
      <c r="O22" s="91" t="s">
        <v>115</v>
      </c>
      <c r="P22" s="91"/>
      <c r="Q22" s="91"/>
      <c r="R22" s="91"/>
      <c r="S22" s="91"/>
      <c r="T22" s="91"/>
      <c r="U22" s="91"/>
      <c r="V22" s="91"/>
      <c r="W22" s="2"/>
    </row>
    <row r="23" spans="1:24" ht="15.5" x14ac:dyDescent="0.35">
      <c r="A23" t="s">
        <v>2</v>
      </c>
      <c r="B23" s="11">
        <v>1</v>
      </c>
      <c r="C23" t="s">
        <v>23</v>
      </c>
      <c r="D23" s="25">
        <v>7</v>
      </c>
      <c r="E23" t="s">
        <v>12</v>
      </c>
      <c r="G23" s="4"/>
      <c r="I23" s="43"/>
      <c r="J23" t="s">
        <v>12</v>
      </c>
      <c r="K23" s="52">
        <f t="shared" si="0"/>
        <v>0</v>
      </c>
      <c r="L23" t="s">
        <v>12</v>
      </c>
      <c r="N23" s="26"/>
      <c r="O23" s="27"/>
      <c r="P23" s="92" t="s">
        <v>127</v>
      </c>
      <c r="Q23" s="92"/>
      <c r="R23" s="92"/>
      <c r="S23" s="92"/>
      <c r="T23" s="92"/>
      <c r="U23" s="92"/>
      <c r="V23" s="92"/>
      <c r="W23" s="2"/>
    </row>
    <row r="24" spans="1:24" ht="15.5" x14ac:dyDescent="0.35">
      <c r="A24" t="s">
        <v>3</v>
      </c>
      <c r="B24" s="11">
        <v>1</v>
      </c>
      <c r="C24" t="s">
        <v>23</v>
      </c>
      <c r="D24" s="25">
        <v>34</v>
      </c>
      <c r="E24" t="s">
        <v>12</v>
      </c>
      <c r="G24" s="4"/>
      <c r="I24" s="43"/>
      <c r="J24" t="s">
        <v>12</v>
      </c>
      <c r="K24" s="52">
        <f t="shared" si="0"/>
        <v>0</v>
      </c>
      <c r="L24" t="s">
        <v>12</v>
      </c>
      <c r="N24" s="90" t="s">
        <v>79</v>
      </c>
      <c r="O24" s="28"/>
      <c r="P24" s="80">
        <f>Q24-1</f>
        <v>5</v>
      </c>
      <c r="Q24" s="80">
        <f>R24-1</f>
        <v>6</v>
      </c>
      <c r="R24" s="80">
        <f>S24-1</f>
        <v>7</v>
      </c>
      <c r="S24" s="80">
        <f>G85</f>
        <v>8</v>
      </c>
      <c r="T24" s="80">
        <f>S24+1</f>
        <v>9</v>
      </c>
      <c r="U24" s="80">
        <f>T24+1</f>
        <v>10</v>
      </c>
      <c r="V24" s="80">
        <f>U24+1</f>
        <v>11</v>
      </c>
      <c r="W24" s="2"/>
    </row>
    <row r="25" spans="1:24" ht="15.5" x14ac:dyDescent="0.35">
      <c r="A25" t="s">
        <v>4</v>
      </c>
      <c r="B25" s="11">
        <v>1</v>
      </c>
      <c r="C25" t="s">
        <v>23</v>
      </c>
      <c r="D25" s="25">
        <v>25</v>
      </c>
      <c r="E25" t="s">
        <v>12</v>
      </c>
      <c r="G25" s="5"/>
      <c r="I25" s="72"/>
      <c r="J25" t="s">
        <v>12</v>
      </c>
      <c r="K25" s="52">
        <f t="shared" si="0"/>
        <v>0</v>
      </c>
      <c r="L25" t="s">
        <v>12</v>
      </c>
      <c r="N25" s="90"/>
      <c r="O25" s="29">
        <f>O26-0.5</f>
        <v>3.5</v>
      </c>
      <c r="P25" s="81">
        <f t="shared" ref="P25:U31" si="1">IF(((($C$91+$B$80)-(P$24*$B$76)-($O25*$B$78))/$B$77)&gt;0,((($C$91+$B$80)-(P$24*$B$76)-($O25*$B$78))/$B$77),"VC")</f>
        <v>59.636586763636366</v>
      </c>
      <c r="Q25" s="81">
        <f t="shared" si="1"/>
        <v>56.000223127272733</v>
      </c>
      <c r="R25" s="81">
        <f t="shared" si="1"/>
        <v>52.363859490909093</v>
      </c>
      <c r="S25" s="81">
        <f t="shared" si="1"/>
        <v>48.72749585454546</v>
      </c>
      <c r="T25" s="81">
        <f t="shared" si="1"/>
        <v>45.091132218181819</v>
      </c>
      <c r="U25" s="81">
        <f t="shared" si="1"/>
        <v>41.454768581818186</v>
      </c>
      <c r="V25" s="81">
        <f>IF(((($C$91+$B$80)-(V$24*$B$76)-($O25*$B$78))/$B$77)&gt;0,((($C$91+$B$80)-(V$24*$B$76)-($O25*$B$78))/$B$77),"VC")</f>
        <v>37.818404945454546</v>
      </c>
      <c r="W25" s="2"/>
    </row>
    <row r="26" spans="1:24" ht="15.5" x14ac:dyDescent="0.35">
      <c r="A26" t="s">
        <v>96</v>
      </c>
      <c r="B26" s="11">
        <v>0</v>
      </c>
      <c r="C26" t="s">
        <v>23</v>
      </c>
      <c r="D26" s="25">
        <v>0</v>
      </c>
      <c r="E26" t="s">
        <v>12</v>
      </c>
      <c r="G26" s="4"/>
      <c r="I26" s="43"/>
      <c r="J26" t="s">
        <v>12</v>
      </c>
      <c r="K26" s="52">
        <f t="shared" si="0"/>
        <v>0</v>
      </c>
      <c r="L26" t="s">
        <v>12</v>
      </c>
      <c r="N26" s="90"/>
      <c r="O26" s="29">
        <f>O27-0.5</f>
        <v>4</v>
      </c>
      <c r="P26" s="81">
        <f t="shared" si="1"/>
        <v>57.682041309090913</v>
      </c>
      <c r="Q26" s="81">
        <f t="shared" si="1"/>
        <v>54.045677672727273</v>
      </c>
      <c r="R26" s="81">
        <f t="shared" si="1"/>
        <v>50.409314036363639</v>
      </c>
      <c r="S26" s="81">
        <f t="shared" si="1"/>
        <v>46.772950400000006</v>
      </c>
      <c r="T26" s="81">
        <f t="shared" si="1"/>
        <v>43.136586763636366</v>
      </c>
      <c r="U26" s="81">
        <f t="shared" si="1"/>
        <v>39.500223127272733</v>
      </c>
      <c r="V26" s="81" t="b">
        <f>IF(((($C$91+$B$80)-(V$24*$B$76)-($O26*$B$78))/$B$77)&lt;0,"VC")</f>
        <v>0</v>
      </c>
      <c r="W26" s="2"/>
    </row>
    <row r="27" spans="1:24" ht="15.5" x14ac:dyDescent="0.35">
      <c r="A27" s="10" t="s">
        <v>68</v>
      </c>
      <c r="B27" s="89" t="s">
        <v>63</v>
      </c>
      <c r="C27" s="89"/>
      <c r="D27" s="89"/>
      <c r="E27" s="89"/>
      <c r="F27" s="89" t="s">
        <v>64</v>
      </c>
      <c r="G27" s="89"/>
      <c r="H27" s="89"/>
      <c r="I27" s="89"/>
      <c r="J27" s="89"/>
      <c r="K27" s="89"/>
      <c r="L27" s="65"/>
      <c r="N27" s="90"/>
      <c r="O27" s="29">
        <f>O28-0.5</f>
        <v>4.5</v>
      </c>
      <c r="P27" s="81">
        <f t="shared" si="1"/>
        <v>55.72749585454546</v>
      </c>
      <c r="Q27" s="81">
        <f t="shared" si="1"/>
        <v>52.091132218181819</v>
      </c>
      <c r="R27" s="81">
        <f t="shared" si="1"/>
        <v>48.454768581818186</v>
      </c>
      <c r="S27" s="81">
        <f t="shared" si="1"/>
        <v>44.818404945454546</v>
      </c>
      <c r="T27" s="81">
        <f t="shared" si="1"/>
        <v>41.182041309090913</v>
      </c>
      <c r="U27" s="81">
        <f t="shared" si="1"/>
        <v>37.545677672727273</v>
      </c>
      <c r="V27" s="81" t="b">
        <f t="shared" ref="V27:V31" si="2">IF(((($C$91+$B$80)-(V$24*$B$76)-($O27*$B$78))/$B$77)&lt;0,"VC")</f>
        <v>0</v>
      </c>
      <c r="W27" s="2"/>
    </row>
    <row r="28" spans="1:24" ht="15.5" x14ac:dyDescent="0.35">
      <c r="A28" s="9"/>
      <c r="G28" s="9" t="s">
        <v>85</v>
      </c>
      <c r="I28" s="9" t="s">
        <v>94</v>
      </c>
      <c r="K28" s="21" t="s">
        <v>95</v>
      </c>
      <c r="L28" s="61"/>
      <c r="N28" s="90"/>
      <c r="O28" s="29">
        <f>G86</f>
        <v>5</v>
      </c>
      <c r="P28" s="81">
        <f t="shared" si="1"/>
        <v>53.772950400000006</v>
      </c>
      <c r="Q28" s="81">
        <f t="shared" si="1"/>
        <v>50.136586763636366</v>
      </c>
      <c r="R28" s="81">
        <f t="shared" si="1"/>
        <v>46.500223127272733</v>
      </c>
      <c r="S28" s="81">
        <f t="shared" si="1"/>
        <v>42.863859490909093</v>
      </c>
      <c r="T28" s="81">
        <f t="shared" si="1"/>
        <v>39.22749585454546</v>
      </c>
      <c r="U28" s="81">
        <f t="shared" si="1"/>
        <v>35.591132218181819</v>
      </c>
      <c r="V28" s="81" t="b">
        <f t="shared" si="2"/>
        <v>0</v>
      </c>
      <c r="W28" s="2"/>
    </row>
    <row r="29" spans="1:24" ht="15.5" x14ac:dyDescent="0.35">
      <c r="A29" t="s">
        <v>25</v>
      </c>
      <c r="B29" s="11">
        <v>1</v>
      </c>
      <c r="C29" t="s">
        <v>23</v>
      </c>
      <c r="D29" s="25">
        <v>26</v>
      </c>
      <c r="E29" s="9" t="s">
        <v>32</v>
      </c>
      <c r="F29" s="11"/>
      <c r="G29" s="4"/>
      <c r="I29" s="43"/>
      <c r="J29" s="9" t="s">
        <v>32</v>
      </c>
      <c r="K29" s="62">
        <f>G29*I29</f>
        <v>0</v>
      </c>
      <c r="L29" s="58" t="s">
        <v>12</v>
      </c>
      <c r="N29" s="90"/>
      <c r="O29" s="29">
        <f>O28+0.5</f>
        <v>5.5</v>
      </c>
      <c r="P29" s="81">
        <f t="shared" si="1"/>
        <v>51.818404945454546</v>
      </c>
      <c r="Q29" s="81">
        <f t="shared" si="1"/>
        <v>48.182041309090913</v>
      </c>
      <c r="R29" s="81">
        <f t="shared" si="1"/>
        <v>44.545677672727273</v>
      </c>
      <c r="S29" s="81">
        <f t="shared" si="1"/>
        <v>40.909314036363639</v>
      </c>
      <c r="T29" s="81">
        <f t="shared" si="1"/>
        <v>37.272950400000006</v>
      </c>
      <c r="U29" s="81">
        <f t="shared" si="1"/>
        <v>33.636586763636366</v>
      </c>
      <c r="V29" s="81" t="b">
        <f t="shared" si="2"/>
        <v>0</v>
      </c>
      <c r="W29" s="2"/>
    </row>
    <row r="30" spans="1:24" ht="15.5" x14ac:dyDescent="0.35">
      <c r="A30" t="s">
        <v>39</v>
      </c>
      <c r="B30" s="41">
        <f>K55</f>
        <v>11</v>
      </c>
      <c r="C30" t="s">
        <v>23</v>
      </c>
      <c r="D30" s="25">
        <v>0.85</v>
      </c>
      <c r="E30" t="s">
        <v>40</v>
      </c>
      <c r="F30" s="41"/>
      <c r="G30" s="8"/>
      <c r="I30" s="72"/>
      <c r="J30" t="s">
        <v>40</v>
      </c>
      <c r="K30" s="62">
        <f>G30*I30</f>
        <v>0</v>
      </c>
      <c r="L30" s="58" t="s">
        <v>12</v>
      </c>
      <c r="N30" s="90"/>
      <c r="O30" s="29">
        <f>O29+0.5</f>
        <v>6</v>
      </c>
      <c r="P30" s="81">
        <f t="shared" si="1"/>
        <v>49.863859490909093</v>
      </c>
      <c r="Q30" s="81">
        <f t="shared" si="1"/>
        <v>46.22749585454546</v>
      </c>
      <c r="R30" s="81">
        <f t="shared" si="1"/>
        <v>42.591132218181819</v>
      </c>
      <c r="S30" s="81">
        <f t="shared" si="1"/>
        <v>38.954768581818186</v>
      </c>
      <c r="T30" s="81">
        <f t="shared" si="1"/>
        <v>35.318404945454546</v>
      </c>
      <c r="U30" s="81">
        <f t="shared" si="1"/>
        <v>31.682041309090913</v>
      </c>
      <c r="V30" s="81" t="b">
        <f t="shared" si="2"/>
        <v>0</v>
      </c>
      <c r="W30" s="2"/>
    </row>
    <row r="31" spans="1:24" ht="15.5" x14ac:dyDescent="0.35">
      <c r="K31" s="46" t="s">
        <v>88</v>
      </c>
      <c r="L31" s="21" t="s">
        <v>91</v>
      </c>
      <c r="N31" s="90"/>
      <c r="O31" s="29">
        <f>O30+0.5</f>
        <v>6.5</v>
      </c>
      <c r="P31" s="81">
        <f t="shared" si="1"/>
        <v>47.909314036363639</v>
      </c>
      <c r="Q31" s="81">
        <f t="shared" si="1"/>
        <v>44.272950400000006</v>
      </c>
      <c r="R31" s="81">
        <f t="shared" si="1"/>
        <v>40.636586763636366</v>
      </c>
      <c r="S31" s="81">
        <f t="shared" si="1"/>
        <v>37.000223127272733</v>
      </c>
      <c r="T31" s="81">
        <f t="shared" si="1"/>
        <v>33.363859490909093</v>
      </c>
      <c r="U31" s="81">
        <f t="shared" si="1"/>
        <v>29.727495854545456</v>
      </c>
      <c r="V31" s="81" t="b">
        <f t="shared" si="2"/>
        <v>0</v>
      </c>
      <c r="W31" s="2"/>
      <c r="X31" s="2"/>
    </row>
    <row r="32" spans="1:24" ht="15.5" x14ac:dyDescent="0.35">
      <c r="I32" s="20"/>
      <c r="J32" s="20"/>
      <c r="K32" s="53">
        <f>SUM(K3, SUMPRODUCT(B21:B26,D21:D26), SUMPRODUCT(B29:B30,D29:D30))</f>
        <v>1114.55</v>
      </c>
      <c r="L32" s="51">
        <f>IF(L3=0,SUM(K3,K21:K26,K29:K30),SUM(L3,K21:K26,,K29:K30))</f>
        <v>684.2</v>
      </c>
      <c r="N32" s="2"/>
    </row>
    <row r="33" spans="1:24" ht="15.5" x14ac:dyDescent="0.35">
      <c r="I33" s="9"/>
      <c r="J33" s="9"/>
      <c r="K33" s="25"/>
      <c r="N33" s="44"/>
      <c r="O33" s="44"/>
      <c r="P33" s="88" t="s">
        <v>116</v>
      </c>
      <c r="Q33" s="88"/>
      <c r="R33" s="88"/>
      <c r="S33" s="88"/>
      <c r="T33" s="88"/>
      <c r="U33" s="88"/>
      <c r="V33" s="88"/>
    </row>
    <row r="34" spans="1:24" ht="15.5" x14ac:dyDescent="0.35">
      <c r="A34" s="10" t="s">
        <v>105</v>
      </c>
      <c r="B34" s="89" t="s">
        <v>63</v>
      </c>
      <c r="C34" s="89"/>
      <c r="D34" s="89"/>
      <c r="E34" s="89"/>
      <c r="F34" s="89" t="s">
        <v>64</v>
      </c>
      <c r="G34" s="89"/>
      <c r="H34" s="89"/>
      <c r="I34" s="89"/>
      <c r="J34" s="89"/>
      <c r="K34" s="89"/>
      <c r="L34" s="65"/>
      <c r="N34" s="30"/>
      <c r="O34" s="68"/>
      <c r="P34" s="93" t="s">
        <v>127</v>
      </c>
      <c r="Q34" s="93"/>
      <c r="R34" s="93"/>
      <c r="S34" s="93"/>
      <c r="T34" s="93"/>
      <c r="U34" s="93"/>
      <c r="V34" s="93"/>
    </row>
    <row r="35" spans="1:24" ht="15.5" x14ac:dyDescent="0.35">
      <c r="A35" s="9"/>
      <c r="B35" s="9"/>
      <c r="C35" s="9"/>
      <c r="D35" s="9"/>
      <c r="E35" s="9"/>
      <c r="G35" s="9" t="s">
        <v>87</v>
      </c>
      <c r="H35" s="9"/>
      <c r="I35" s="9" t="s">
        <v>94</v>
      </c>
      <c r="J35" s="9"/>
      <c r="K35" s="21" t="s">
        <v>95</v>
      </c>
      <c r="L35" s="22"/>
      <c r="N35" s="90" t="s">
        <v>77</v>
      </c>
      <c r="O35" s="31"/>
      <c r="P35" s="82">
        <f>Q35-1</f>
        <v>5</v>
      </c>
      <c r="Q35" s="82">
        <f>R35-1</f>
        <v>6</v>
      </c>
      <c r="R35" s="82">
        <f>S35-1</f>
        <v>7</v>
      </c>
      <c r="S35" s="82">
        <f>G89</f>
        <v>8</v>
      </c>
      <c r="T35" s="82">
        <f>S35+1</f>
        <v>9</v>
      </c>
      <c r="U35" s="82">
        <f>T35+1</f>
        <v>10</v>
      </c>
      <c r="V35" s="82">
        <f>U35+1</f>
        <v>11</v>
      </c>
    </row>
    <row r="36" spans="1:24" ht="15.5" x14ac:dyDescent="0.35">
      <c r="A36" t="s">
        <v>62</v>
      </c>
      <c r="B36" s="11">
        <v>15</v>
      </c>
      <c r="C36" t="s">
        <v>13</v>
      </c>
      <c r="D36" s="11">
        <v>7.25</v>
      </c>
      <c r="E36" t="s">
        <v>124</v>
      </c>
      <c r="F36" s="11"/>
      <c r="G36" s="4"/>
      <c r="H36" t="s">
        <v>13</v>
      </c>
      <c r="I36" s="43"/>
      <c r="J36" t="s">
        <v>124</v>
      </c>
      <c r="K36" s="52">
        <f>G36*I36</f>
        <v>0</v>
      </c>
      <c r="L36" s="18" t="s">
        <v>12</v>
      </c>
      <c r="N36" s="90"/>
      <c r="O36" s="29">
        <f>O37-1</f>
        <v>12</v>
      </c>
      <c r="P36" s="81">
        <f t="shared" ref="P36:V42" si="3">IF(((($C$91+$B$80)-(P$35*$B$76)-($O36*$B$77))/$B$78)&gt;0,((($C$91+$B$80)-(P$35*$B$76)-($O36*$B$77))/$B$78),"VC")</f>
        <v>15.686103590697675</v>
      </c>
      <c r="Q36" s="81">
        <f t="shared" si="3"/>
        <v>14.75587103255814</v>
      </c>
      <c r="R36" s="81">
        <f t="shared" si="3"/>
        <v>13.825638474418605</v>
      </c>
      <c r="S36" s="81">
        <f t="shared" si="3"/>
        <v>12.895405916279071</v>
      </c>
      <c r="T36" s="81">
        <f t="shared" si="3"/>
        <v>11.965173358139536</v>
      </c>
      <c r="U36" s="81">
        <f t="shared" si="3"/>
        <v>11.034940800000001</v>
      </c>
      <c r="V36" s="81">
        <f>IF(((($C$91+$B$80)-(V$35*$B$76)-($O36*$B$77))/$B$78)&gt;0,((($C$91+$B$80)-(V$35*$B$76)-($O36*$B$77))/$B$78),"VC")</f>
        <v>10.104708241860466</v>
      </c>
    </row>
    <row r="37" spans="1:24" ht="15.5" x14ac:dyDescent="0.35">
      <c r="A37" t="s">
        <v>125</v>
      </c>
      <c r="B37" s="11">
        <v>3.5</v>
      </c>
      <c r="C37" t="s">
        <v>13</v>
      </c>
      <c r="D37" s="11">
        <v>7.25</v>
      </c>
      <c r="E37" t="s">
        <v>124</v>
      </c>
      <c r="F37" s="11"/>
      <c r="G37" s="4"/>
      <c r="H37" t="s">
        <v>13</v>
      </c>
      <c r="I37" s="43"/>
      <c r="J37" t="s">
        <v>124</v>
      </c>
      <c r="K37" s="52">
        <f>G37*I37</f>
        <v>0</v>
      </c>
      <c r="L37" s="18" t="s">
        <v>12</v>
      </c>
      <c r="N37" s="90"/>
      <c r="O37" s="29">
        <f>O38-1</f>
        <v>13</v>
      </c>
      <c r="P37" s="81">
        <f t="shared" si="3"/>
        <v>15.430289637209302</v>
      </c>
      <c r="Q37" s="81">
        <f t="shared" si="3"/>
        <v>14.500057079069768</v>
      </c>
      <c r="R37" s="81">
        <f t="shared" si="3"/>
        <v>13.569824520930233</v>
      </c>
      <c r="S37" s="81">
        <f t="shared" si="3"/>
        <v>12.639591962790698</v>
      </c>
      <c r="T37" s="81">
        <f t="shared" si="3"/>
        <v>11.709359404651163</v>
      </c>
      <c r="U37" s="81">
        <f t="shared" si="3"/>
        <v>10.779126846511629</v>
      </c>
      <c r="V37" s="81">
        <f t="shared" si="3"/>
        <v>9.8488942883720938</v>
      </c>
    </row>
    <row r="38" spans="1:24" ht="15.5" x14ac:dyDescent="0.35">
      <c r="A38" t="s">
        <v>128</v>
      </c>
      <c r="B38" s="11">
        <v>120</v>
      </c>
      <c r="C38" t="s">
        <v>66</v>
      </c>
      <c r="D38" s="25">
        <v>1.5</v>
      </c>
      <c r="E38" t="s">
        <v>12</v>
      </c>
      <c r="F38" s="11"/>
      <c r="G38" s="5"/>
      <c r="H38" t="s">
        <v>66</v>
      </c>
      <c r="I38" s="72"/>
      <c r="J38" t="s">
        <v>12</v>
      </c>
      <c r="K38" s="52">
        <f>G38*I38</f>
        <v>0</v>
      </c>
      <c r="L38" s="18" t="s">
        <v>12</v>
      </c>
      <c r="N38" s="90"/>
      <c r="O38" s="29">
        <f>O39-1</f>
        <v>14</v>
      </c>
      <c r="P38" s="81">
        <f t="shared" si="3"/>
        <v>15.174475683720932</v>
      </c>
      <c r="Q38" s="81">
        <f t="shared" si="3"/>
        <v>14.244243125581397</v>
      </c>
      <c r="R38" s="81">
        <f t="shared" si="3"/>
        <v>13.314010567441862</v>
      </c>
      <c r="S38" s="81">
        <f t="shared" si="3"/>
        <v>12.383778009302326</v>
      </c>
      <c r="T38" s="81">
        <f t="shared" si="3"/>
        <v>11.453545451162791</v>
      </c>
      <c r="U38" s="81">
        <f t="shared" si="3"/>
        <v>10.523312893023256</v>
      </c>
      <c r="V38" s="81">
        <f t="shared" si="3"/>
        <v>9.5930803348837212</v>
      </c>
    </row>
    <row r="39" spans="1:24" ht="15.5" x14ac:dyDescent="0.35">
      <c r="A39" t="s">
        <v>17</v>
      </c>
      <c r="B39" s="11">
        <v>4</v>
      </c>
      <c r="C39" t="s">
        <v>15</v>
      </c>
      <c r="D39" s="11">
        <v>1.5E-3</v>
      </c>
      <c r="E39" t="s">
        <v>14</v>
      </c>
      <c r="F39" s="11"/>
      <c r="G39" s="4"/>
      <c r="H39" t="s">
        <v>15</v>
      </c>
      <c r="I39" s="4"/>
      <c r="J39" t="s">
        <v>14</v>
      </c>
      <c r="K39" s="52">
        <f>G39*I39</f>
        <v>0</v>
      </c>
      <c r="L39" s="18" t="s">
        <v>12</v>
      </c>
      <c r="N39" s="90"/>
      <c r="O39" s="29">
        <f>G90</f>
        <v>15</v>
      </c>
      <c r="P39" s="81">
        <f t="shared" si="3"/>
        <v>14.918661730232559</v>
      </c>
      <c r="Q39" s="81">
        <f t="shared" si="3"/>
        <v>13.988429172093024</v>
      </c>
      <c r="R39" s="81">
        <f t="shared" si="3"/>
        <v>13.05819661395349</v>
      </c>
      <c r="S39" s="81">
        <f t="shared" si="3"/>
        <v>12.127964055813955</v>
      </c>
      <c r="T39" s="81">
        <f t="shared" si="3"/>
        <v>11.19773149767442</v>
      </c>
      <c r="U39" s="81">
        <f t="shared" si="3"/>
        <v>10.267498939534885</v>
      </c>
      <c r="V39" s="81">
        <f t="shared" si="3"/>
        <v>9.3372663813953505</v>
      </c>
    </row>
    <row r="40" spans="1:24" ht="15.5" x14ac:dyDescent="0.35">
      <c r="B40" s="11"/>
      <c r="C40" s="11"/>
      <c r="D40" s="11"/>
      <c r="F40" s="11"/>
      <c r="G40" s="11"/>
      <c r="H40" s="11"/>
      <c r="K40" s="21" t="s">
        <v>92</v>
      </c>
      <c r="L40" s="21" t="s">
        <v>93</v>
      </c>
      <c r="N40" s="90"/>
      <c r="O40" s="29">
        <f>O39+1</f>
        <v>16</v>
      </c>
      <c r="P40" s="81">
        <f t="shared" si="3"/>
        <v>14.662847776744186</v>
      </c>
      <c r="Q40" s="81">
        <f t="shared" si="3"/>
        <v>13.732615218604652</v>
      </c>
      <c r="R40" s="81">
        <f t="shared" si="3"/>
        <v>12.802382660465117</v>
      </c>
      <c r="S40" s="81">
        <f t="shared" si="3"/>
        <v>11.872150102325582</v>
      </c>
      <c r="T40" s="81">
        <f t="shared" si="3"/>
        <v>10.941917544186047</v>
      </c>
      <c r="U40" s="81">
        <f t="shared" si="3"/>
        <v>10.011684986046513</v>
      </c>
      <c r="V40" s="81">
        <f t="shared" si="3"/>
        <v>9.0814524279069779</v>
      </c>
    </row>
    <row r="41" spans="1:24" ht="15.5" x14ac:dyDescent="0.35">
      <c r="I41" s="20"/>
      <c r="J41" s="20"/>
      <c r="K41" s="55">
        <f>SUMPRODUCT(B36:B39,D36:D39)</f>
        <v>314.13099999999997</v>
      </c>
      <c r="L41" s="53">
        <f>SUM(K36:K39)</f>
        <v>0</v>
      </c>
      <c r="N41" s="90"/>
      <c r="O41" s="29">
        <f>O40+1</f>
        <v>17</v>
      </c>
      <c r="P41" s="81">
        <f t="shared" si="3"/>
        <v>14.407033823255814</v>
      </c>
      <c r="Q41" s="81">
        <f t="shared" si="3"/>
        <v>13.476801265116279</v>
      </c>
      <c r="R41" s="81">
        <f t="shared" si="3"/>
        <v>12.546568706976744</v>
      </c>
      <c r="S41" s="81">
        <f t="shared" si="3"/>
        <v>11.61633614883721</v>
      </c>
      <c r="T41" s="81">
        <f t="shared" si="3"/>
        <v>10.686103590697675</v>
      </c>
      <c r="U41" s="81">
        <f t="shared" si="3"/>
        <v>9.7558710325581401</v>
      </c>
      <c r="V41" s="81">
        <f t="shared" si="3"/>
        <v>8.8256384744186054</v>
      </c>
    </row>
    <row r="42" spans="1:24" ht="15.5" x14ac:dyDescent="0.35">
      <c r="I42" s="9"/>
      <c r="J42" s="9"/>
      <c r="K42" s="25"/>
      <c r="N42" s="90"/>
      <c r="O42" s="29">
        <f>O41+1</f>
        <v>18</v>
      </c>
      <c r="P42" s="81">
        <f t="shared" si="3"/>
        <v>14.151219869767443</v>
      </c>
      <c r="Q42" s="81">
        <f t="shared" si="3"/>
        <v>13.220987311627908</v>
      </c>
      <c r="R42" s="81">
        <f>IF(((($C$91+$B$80)-(R$35*$B$76)-($O42*$B$77))/$B$78)&gt;0,((($C$91+$B$80)-(R$35*$B$76)-($O42*$B$77))/$B$78),"VC")</f>
        <v>12.290754753488374</v>
      </c>
      <c r="S42" s="81">
        <f t="shared" si="3"/>
        <v>11.360522195348837</v>
      </c>
      <c r="T42" s="81">
        <f t="shared" si="3"/>
        <v>10.430289637209302</v>
      </c>
      <c r="U42" s="81">
        <f t="shared" si="3"/>
        <v>9.5000570790697676</v>
      </c>
      <c r="V42" s="81">
        <f t="shared" si="3"/>
        <v>8.5698245209302328</v>
      </c>
    </row>
    <row r="43" spans="1:24" x14ac:dyDescent="0.35">
      <c r="A43" s="10" t="s">
        <v>69</v>
      </c>
      <c r="B43" s="89" t="s">
        <v>63</v>
      </c>
      <c r="C43" s="89"/>
      <c r="D43" s="89"/>
      <c r="E43" s="89"/>
      <c r="F43" s="89" t="s">
        <v>64</v>
      </c>
      <c r="G43" s="89"/>
      <c r="H43" s="89"/>
      <c r="I43" s="89"/>
      <c r="J43" s="89"/>
      <c r="K43" s="89"/>
      <c r="L43" s="65"/>
    </row>
    <row r="44" spans="1:24" ht="15.5" x14ac:dyDescent="0.35">
      <c r="A44" s="32" t="s">
        <v>36</v>
      </c>
      <c r="B44" s="33"/>
      <c r="C44" s="33"/>
      <c r="D44" s="33"/>
      <c r="E44" s="33"/>
      <c r="F44" s="34"/>
      <c r="G44" s="9" t="s">
        <v>87</v>
      </c>
      <c r="H44" s="9"/>
      <c r="I44" s="9" t="s">
        <v>94</v>
      </c>
      <c r="J44" s="9"/>
      <c r="K44" s="21" t="s">
        <v>95</v>
      </c>
      <c r="L44" s="61"/>
      <c r="N44" s="100" t="s">
        <v>75</v>
      </c>
      <c r="O44" s="100"/>
      <c r="P44" s="100"/>
      <c r="Q44" s="100"/>
      <c r="R44" s="100"/>
      <c r="S44" s="100"/>
      <c r="T44" s="100"/>
      <c r="U44" s="100"/>
      <c r="V44" s="100"/>
      <c r="W44" s="3"/>
      <c r="X44" s="3"/>
    </row>
    <row r="45" spans="1:24" x14ac:dyDescent="0.35">
      <c r="A45" t="s">
        <v>21</v>
      </c>
      <c r="B45" s="25">
        <v>4.8</v>
      </c>
      <c r="C45" t="s">
        <v>29</v>
      </c>
      <c r="D45" s="25">
        <v>1.4</v>
      </c>
      <c r="E45" t="s">
        <v>28</v>
      </c>
      <c r="G45" s="43"/>
      <c r="H45" t="s">
        <v>29</v>
      </c>
      <c r="I45" s="43"/>
      <c r="J45" t="s">
        <v>28</v>
      </c>
      <c r="K45" s="62">
        <f>G45*I45</f>
        <v>0</v>
      </c>
      <c r="L45" s="58" t="s">
        <v>12</v>
      </c>
    </row>
    <row r="46" spans="1:24" ht="15.5" x14ac:dyDescent="0.35">
      <c r="A46" t="s">
        <v>41</v>
      </c>
      <c r="B46" s="25">
        <f>B45*1.4</f>
        <v>6.72</v>
      </c>
      <c r="C46" t="s">
        <v>29</v>
      </c>
      <c r="D46" s="25">
        <v>0.7</v>
      </c>
      <c r="E46" t="s">
        <v>28</v>
      </c>
      <c r="G46" s="43"/>
      <c r="H46" t="s">
        <v>29</v>
      </c>
      <c r="I46" s="43"/>
      <c r="J46" t="s">
        <v>28</v>
      </c>
      <c r="K46" s="62">
        <f t="shared" ref="K46:K50" si="4">G46*I46</f>
        <v>0</v>
      </c>
      <c r="L46" s="58" t="s">
        <v>12</v>
      </c>
      <c r="N46" s="100" t="s">
        <v>117</v>
      </c>
      <c r="O46" s="100"/>
      <c r="P46" s="100"/>
      <c r="Q46" s="100"/>
      <c r="R46" s="100"/>
      <c r="S46" s="100"/>
      <c r="T46" s="100"/>
      <c r="U46" s="100"/>
      <c r="V46" s="100"/>
    </row>
    <row r="47" spans="1:24" ht="15.5" x14ac:dyDescent="0.35">
      <c r="A47" t="s">
        <v>42</v>
      </c>
      <c r="B47" s="25">
        <f>B45*1.4</f>
        <v>6.72</v>
      </c>
      <c r="C47" t="s">
        <v>29</v>
      </c>
      <c r="D47" s="25">
        <v>0.21</v>
      </c>
      <c r="E47" t="s">
        <v>28</v>
      </c>
      <c r="G47" s="43"/>
      <c r="H47" t="s">
        <v>29</v>
      </c>
      <c r="I47" s="72"/>
      <c r="J47" t="s">
        <v>28</v>
      </c>
      <c r="K47" s="62">
        <f t="shared" si="4"/>
        <v>0</v>
      </c>
      <c r="L47" s="58" t="s">
        <v>12</v>
      </c>
      <c r="N47" s="35"/>
      <c r="O47" s="36"/>
      <c r="P47" s="95" t="s">
        <v>76</v>
      </c>
      <c r="Q47" s="95"/>
      <c r="R47" s="95"/>
      <c r="S47" s="95"/>
      <c r="T47" s="95"/>
      <c r="U47" s="95"/>
      <c r="V47" s="95"/>
    </row>
    <row r="48" spans="1:24" x14ac:dyDescent="0.35">
      <c r="A48" t="s">
        <v>27</v>
      </c>
      <c r="B48" s="25">
        <f>B45*0.101442</f>
        <v>0.48692160000000001</v>
      </c>
      <c r="C48" t="s">
        <v>29</v>
      </c>
      <c r="D48" s="25">
        <v>9</v>
      </c>
      <c r="E48" t="s">
        <v>28</v>
      </c>
      <c r="G48" s="43"/>
      <c r="H48" t="s">
        <v>29</v>
      </c>
      <c r="I48" s="72"/>
      <c r="J48" t="s">
        <v>28</v>
      </c>
      <c r="K48" s="62">
        <f t="shared" si="4"/>
        <v>0</v>
      </c>
      <c r="L48" s="58" t="s">
        <v>12</v>
      </c>
      <c r="N48" s="86" t="s">
        <v>78</v>
      </c>
      <c r="O48" s="35"/>
      <c r="P48" s="70">
        <f>IF($S$48="-","-",($S$48-3))</f>
        <v>12</v>
      </c>
      <c r="Q48" s="70">
        <f>IF($S$48="-","-",($S$48-2))</f>
        <v>13</v>
      </c>
      <c r="R48" s="70">
        <f>IF($S$48="-","-",($S$48-1))</f>
        <v>14</v>
      </c>
      <c r="S48" s="70">
        <f>IF(H85=0,"-",H85)</f>
        <v>15</v>
      </c>
      <c r="T48" s="70">
        <f>IF($S$48="-","-",($S$48+1))</f>
        <v>16</v>
      </c>
      <c r="U48" s="70">
        <f>IF($S$48="-","-",($S$48+2))</f>
        <v>17</v>
      </c>
      <c r="V48" s="70">
        <f>IF($S$48="-","-",($S$48+3))</f>
        <v>18</v>
      </c>
    </row>
    <row r="49" spans="1:22" x14ac:dyDescent="0.35">
      <c r="A49" t="s">
        <v>48</v>
      </c>
      <c r="B49" s="25">
        <v>1</v>
      </c>
      <c r="C49" t="s">
        <v>13</v>
      </c>
      <c r="D49" s="25">
        <v>7.25</v>
      </c>
      <c r="E49" t="s">
        <v>124</v>
      </c>
      <c r="G49" s="72"/>
      <c r="H49" t="s">
        <v>13</v>
      </c>
      <c r="I49" s="72"/>
      <c r="J49" t="s">
        <v>124</v>
      </c>
      <c r="K49" s="62">
        <f t="shared" si="4"/>
        <v>0</v>
      </c>
      <c r="L49" s="58" t="s">
        <v>12</v>
      </c>
      <c r="N49" s="86"/>
      <c r="O49" s="70">
        <f>IF($O$52="-","-",$O$52-1.5)</f>
        <v>-0.5</v>
      </c>
      <c r="P49" s="25">
        <f>IF(AND($C$77&gt;0,$S$48&lt;&gt;"-",$O$52&lt;&gt;"-"),IF(((($D$91+$C$80)-(P$48*$C$76)-($O49*$C$78))/$C$77)&gt;0,((($D$91+$C$80)-(P$48*$C$76)-($O49*$C$78))/$C$77),"VC"),"-")</f>
        <v>5.0700000000000012</v>
      </c>
      <c r="Q49" s="25">
        <f t="shared" ref="Q49:V55" si="5">IF(AND($C$77&gt;0,$S$48&lt;&gt;"-",$O$52&lt;&gt;"-"),IF(((($D$91+$C$80)-(Q$48*$C$76)-($O49*$C$78))/$C$77)&gt;0,((($D$91+$C$80)-(Q$48*$C$76)-($O49*$C$78))/$C$77),"VC"),"-")</f>
        <v>4.4033333333333342</v>
      </c>
      <c r="R49" s="25">
        <f t="shared" si="5"/>
        <v>3.7366666666666672</v>
      </c>
      <c r="S49" s="25">
        <f t="shared" si="5"/>
        <v>3.0700000000000007</v>
      </c>
      <c r="T49" s="25">
        <f t="shared" si="5"/>
        <v>2.4033333333333342</v>
      </c>
      <c r="U49" s="25">
        <f t="shared" si="5"/>
        <v>1.7366666666666675</v>
      </c>
      <c r="V49" s="25">
        <f t="shared" si="5"/>
        <v>1.0700000000000007</v>
      </c>
    </row>
    <row r="50" spans="1:22" x14ac:dyDescent="0.35">
      <c r="A50" t="s">
        <v>49</v>
      </c>
      <c r="B50" s="25">
        <v>4</v>
      </c>
      <c r="C50" t="s">
        <v>51</v>
      </c>
      <c r="D50" s="11">
        <v>1.5E-3</v>
      </c>
      <c r="E50" t="s">
        <v>14</v>
      </c>
      <c r="G50" s="72"/>
      <c r="H50" t="s">
        <v>51</v>
      </c>
      <c r="I50" s="75"/>
      <c r="J50" t="s">
        <v>14</v>
      </c>
      <c r="K50" s="62">
        <f t="shared" si="4"/>
        <v>0</v>
      </c>
      <c r="L50" s="58" t="s">
        <v>12</v>
      </c>
      <c r="N50" s="86"/>
      <c r="O50" s="70">
        <f>IF($O$52="-","-",$O$52-1)</f>
        <v>0</v>
      </c>
      <c r="P50" s="25">
        <f t="shared" ref="P50:P55" si="6">IF(AND($C$77&gt;0,$S$48&lt;&gt;"-",$O$52&lt;&gt;"-"),IF(((($D$91+$C$80)-(P$48*$C$76)-($O50*$C$78))/$C$77)&gt;0,((($D$91+$C$80)-(P$48*$C$76)-($O50*$C$78))/$C$77),"VC"),"-")</f>
        <v>3.4033333333333342</v>
      </c>
      <c r="Q50" s="25">
        <f t="shared" si="5"/>
        <v>2.7366666666666672</v>
      </c>
      <c r="R50" s="25">
        <f t="shared" si="5"/>
        <v>2.0700000000000007</v>
      </c>
      <c r="S50" s="25">
        <f t="shared" si="5"/>
        <v>1.403333333333334</v>
      </c>
      <c r="T50" s="25">
        <f t="shared" si="5"/>
        <v>0.73666666666666747</v>
      </c>
      <c r="U50" s="25">
        <f t="shared" si="5"/>
        <v>7.0000000000000756E-2</v>
      </c>
      <c r="V50" s="25" t="str">
        <f t="shared" si="5"/>
        <v>VC</v>
      </c>
    </row>
    <row r="51" spans="1:22" x14ac:dyDescent="0.35">
      <c r="B51" s="25"/>
      <c r="D51" s="11"/>
      <c r="G51" s="41"/>
      <c r="I51" s="11"/>
      <c r="J51" t="s">
        <v>114</v>
      </c>
      <c r="K51" s="79"/>
      <c r="L51" s="58"/>
      <c r="N51" s="86"/>
      <c r="O51" s="70">
        <f>IF($O$52="-","-",$O$52-0.5)</f>
        <v>0.5</v>
      </c>
      <c r="P51" s="25">
        <f t="shared" si="6"/>
        <v>1.7366666666666675</v>
      </c>
      <c r="Q51" s="25">
        <f t="shared" si="5"/>
        <v>1.0700000000000007</v>
      </c>
      <c r="R51" s="25">
        <f t="shared" si="5"/>
        <v>0.4033333333333341</v>
      </c>
      <c r="S51" s="25" t="str">
        <f t="shared" si="5"/>
        <v>VC</v>
      </c>
      <c r="T51" s="25" t="str">
        <f t="shared" si="5"/>
        <v>VC</v>
      </c>
      <c r="U51" s="25" t="str">
        <f t="shared" si="5"/>
        <v>VC</v>
      </c>
      <c r="V51" s="25" t="str">
        <f t="shared" si="5"/>
        <v>VC</v>
      </c>
    </row>
    <row r="52" spans="1:22" x14ac:dyDescent="0.35">
      <c r="B52" s="25"/>
      <c r="D52" s="11"/>
      <c r="G52" s="41"/>
      <c r="I52" s="11"/>
      <c r="K52" s="62"/>
      <c r="L52" s="58"/>
      <c r="N52" s="86"/>
      <c r="O52" s="70">
        <f>IF(H86=0,"-",H86)</f>
        <v>1</v>
      </c>
      <c r="P52" s="25">
        <f t="shared" si="6"/>
        <v>7.0000000000000756E-2</v>
      </c>
      <c r="Q52" s="25" t="str">
        <f t="shared" si="5"/>
        <v>VC</v>
      </c>
      <c r="R52" s="25" t="str">
        <f t="shared" si="5"/>
        <v>VC</v>
      </c>
      <c r="S52" s="25" t="str">
        <f t="shared" si="5"/>
        <v>VC</v>
      </c>
      <c r="T52" s="25" t="str">
        <f t="shared" si="5"/>
        <v>VC</v>
      </c>
      <c r="U52" s="25" t="str">
        <f t="shared" si="5"/>
        <v>VC</v>
      </c>
      <c r="V52" s="25" t="str">
        <f t="shared" si="5"/>
        <v>VC</v>
      </c>
    </row>
    <row r="53" spans="1:22" x14ac:dyDescent="0.35">
      <c r="B53" s="11"/>
      <c r="C53" s="11"/>
      <c r="D53" s="11"/>
      <c r="E53" s="11"/>
      <c r="F53" s="11"/>
      <c r="G53" s="11"/>
      <c r="H53" s="18"/>
      <c r="K53" s="22" t="s">
        <v>73</v>
      </c>
      <c r="L53" s="21" t="s">
        <v>64</v>
      </c>
      <c r="N53" s="86"/>
      <c r="O53" s="70">
        <f>IF($O$52="-","-",$O$52+0.5)</f>
        <v>1.5</v>
      </c>
      <c r="P53" s="25" t="str">
        <f t="shared" si="6"/>
        <v>VC</v>
      </c>
      <c r="Q53" s="25" t="str">
        <f t="shared" si="5"/>
        <v>VC</v>
      </c>
      <c r="R53" s="25" t="str">
        <f t="shared" si="5"/>
        <v>VC</v>
      </c>
      <c r="S53" s="25" t="str">
        <f t="shared" si="5"/>
        <v>VC</v>
      </c>
      <c r="T53" s="25" t="str">
        <f t="shared" si="5"/>
        <v>VC</v>
      </c>
      <c r="U53" s="25" t="str">
        <f t="shared" si="5"/>
        <v>VC</v>
      </c>
      <c r="V53" s="25" t="str">
        <f t="shared" si="5"/>
        <v>VC</v>
      </c>
    </row>
    <row r="54" spans="1:22" x14ac:dyDescent="0.35">
      <c r="B54" s="11"/>
      <c r="C54" s="11"/>
      <c r="D54" s="11"/>
      <c r="E54" s="11"/>
      <c r="F54" s="11"/>
      <c r="G54" s="11"/>
      <c r="H54" s="11"/>
      <c r="I54" s="20" t="s">
        <v>46</v>
      </c>
      <c r="J54" s="20"/>
      <c r="K54" s="51">
        <f>SUMPRODUCT(B45:B50,D45:D50)</f>
        <v>24.4734944</v>
      </c>
      <c r="L54" s="55">
        <f>SUM(K45:K51)</f>
        <v>0</v>
      </c>
      <c r="N54" s="86"/>
      <c r="O54" s="70">
        <f>IF($O$52="-","-",$O$52+1)</f>
        <v>2</v>
      </c>
      <c r="P54" s="25" t="str">
        <f t="shared" si="6"/>
        <v>VC</v>
      </c>
      <c r="Q54" s="25" t="str">
        <f t="shared" si="5"/>
        <v>VC</v>
      </c>
      <c r="R54" s="25" t="str">
        <f t="shared" si="5"/>
        <v>VC</v>
      </c>
      <c r="S54" s="25" t="str">
        <f t="shared" si="5"/>
        <v>VC</v>
      </c>
      <c r="T54" s="25" t="str">
        <f t="shared" si="5"/>
        <v>VC</v>
      </c>
      <c r="U54" s="25" t="str">
        <f t="shared" si="5"/>
        <v>VC</v>
      </c>
      <c r="V54" s="25" t="str">
        <f t="shared" si="5"/>
        <v>VC</v>
      </c>
    </row>
    <row r="55" spans="1:22" x14ac:dyDescent="0.35">
      <c r="B55" s="11"/>
      <c r="C55" s="11"/>
      <c r="D55" s="11"/>
      <c r="E55" s="11"/>
      <c r="F55" s="11"/>
      <c r="G55" s="11"/>
      <c r="H55" s="11"/>
      <c r="I55" s="11" t="s">
        <v>43</v>
      </c>
      <c r="J55" s="11"/>
      <c r="K55" s="37">
        <f>ROUNDDOWN((B45*2.4),0)</f>
        <v>11</v>
      </c>
      <c r="L55" s="37">
        <f>C77</f>
        <v>15</v>
      </c>
      <c r="N55" s="86"/>
      <c r="O55" s="70">
        <f>IF($O$52="-","-",$O$52+1.5)</f>
        <v>2.5</v>
      </c>
      <c r="P55" s="25" t="str">
        <f t="shared" si="6"/>
        <v>VC</v>
      </c>
      <c r="Q55" s="25" t="str">
        <f t="shared" si="5"/>
        <v>VC</v>
      </c>
      <c r="R55" s="25" t="str">
        <f t="shared" si="5"/>
        <v>VC</v>
      </c>
      <c r="S55" s="25" t="str">
        <f t="shared" si="5"/>
        <v>VC</v>
      </c>
      <c r="T55" s="25" t="str">
        <f t="shared" si="5"/>
        <v>VC</v>
      </c>
      <c r="U55" s="25" t="str">
        <f t="shared" si="5"/>
        <v>VC</v>
      </c>
      <c r="V55" s="25" t="str">
        <f t="shared" si="5"/>
        <v>VC</v>
      </c>
    </row>
    <row r="56" spans="1:22" x14ac:dyDescent="0.35">
      <c r="B56" s="11"/>
      <c r="C56" s="11"/>
      <c r="D56" s="11"/>
      <c r="E56" s="11"/>
      <c r="F56" s="11"/>
      <c r="G56" s="11"/>
      <c r="H56" s="11"/>
      <c r="I56" s="11" t="s">
        <v>52</v>
      </c>
      <c r="J56" s="11"/>
      <c r="K56" s="53">
        <f>K54/K55</f>
        <v>2.2248631272727271</v>
      </c>
      <c r="L56" s="51" t="str">
        <f>IF(AND(L54&gt;0, L55&gt;0),(L54/L55), "-")</f>
        <v>-</v>
      </c>
      <c r="N56" s="69"/>
      <c r="P56" s="25"/>
      <c r="Q56" s="25"/>
      <c r="R56" s="25"/>
      <c r="S56" s="25"/>
      <c r="T56" s="25"/>
      <c r="U56" s="25"/>
      <c r="V56" s="25"/>
    </row>
    <row r="57" spans="1:22" x14ac:dyDescent="0.35">
      <c r="B57" s="11"/>
      <c r="C57" s="11"/>
      <c r="D57" s="11"/>
      <c r="E57" s="11"/>
      <c r="F57" s="11"/>
      <c r="G57" s="11"/>
      <c r="H57" s="11"/>
      <c r="I57" s="11"/>
      <c r="J57" s="11"/>
      <c r="K57" s="50"/>
      <c r="L57" s="47"/>
      <c r="N57" s="69"/>
      <c r="P57" s="25"/>
      <c r="Q57" s="25"/>
      <c r="R57" s="25"/>
      <c r="S57" s="25"/>
      <c r="T57" s="25"/>
      <c r="U57" s="25"/>
      <c r="V57" s="25"/>
    </row>
    <row r="58" spans="1:22" x14ac:dyDescent="0.35">
      <c r="A58" s="9" t="s">
        <v>31</v>
      </c>
      <c r="B58" s="11"/>
      <c r="C58" s="11"/>
      <c r="D58" s="11"/>
      <c r="E58" s="11"/>
      <c r="F58" s="34"/>
      <c r="G58" s="9" t="s">
        <v>87</v>
      </c>
      <c r="H58" s="9"/>
      <c r="I58" s="9" t="s">
        <v>94</v>
      </c>
      <c r="K58" s="21" t="s">
        <v>95</v>
      </c>
      <c r="L58" s="61"/>
      <c r="N58" s="38"/>
    </row>
    <row r="59" spans="1:22" x14ac:dyDescent="0.35">
      <c r="A59" t="s">
        <v>21</v>
      </c>
      <c r="B59" s="25">
        <v>4.8</v>
      </c>
      <c r="C59" t="s">
        <v>29</v>
      </c>
      <c r="D59" s="25">
        <v>1.4</v>
      </c>
      <c r="E59" t="s">
        <v>28</v>
      </c>
      <c r="F59" s="25"/>
      <c r="G59" s="43"/>
      <c r="H59" t="s">
        <v>29</v>
      </c>
      <c r="I59" s="43"/>
      <c r="J59" t="s">
        <v>28</v>
      </c>
      <c r="K59" s="62">
        <f t="shared" ref="K59:K65" si="7">G59*I59</f>
        <v>0</v>
      </c>
      <c r="L59" s="58" t="s">
        <v>12</v>
      </c>
    </row>
    <row r="60" spans="1:22" ht="15.5" x14ac:dyDescent="0.35">
      <c r="A60" t="s">
        <v>41</v>
      </c>
      <c r="B60" s="25">
        <f>B59</f>
        <v>4.8</v>
      </c>
      <c r="C60" t="s">
        <v>29</v>
      </c>
      <c r="D60" s="25">
        <v>0.7</v>
      </c>
      <c r="E60" t="s">
        <v>28</v>
      </c>
      <c r="F60" s="41"/>
      <c r="G60" s="43"/>
      <c r="H60" t="s">
        <v>29</v>
      </c>
      <c r="I60" s="43"/>
      <c r="J60" t="s">
        <v>28</v>
      </c>
      <c r="K60" s="62">
        <f t="shared" si="7"/>
        <v>0</v>
      </c>
      <c r="L60" s="58" t="s">
        <v>12</v>
      </c>
      <c r="N60" s="100" t="s">
        <v>118</v>
      </c>
      <c r="O60" s="100"/>
      <c r="P60" s="100"/>
      <c r="Q60" s="100"/>
      <c r="R60" s="100"/>
      <c r="S60" s="100"/>
      <c r="T60" s="100"/>
      <c r="U60" s="100"/>
      <c r="V60" s="100"/>
    </row>
    <row r="61" spans="1:22" ht="15.5" x14ac:dyDescent="0.35">
      <c r="A61" t="s">
        <v>44</v>
      </c>
      <c r="B61" s="25">
        <f>B59*0.1666</f>
        <v>0.79967999999999995</v>
      </c>
      <c r="C61" t="s">
        <v>29</v>
      </c>
      <c r="D61" s="25">
        <v>0.5</v>
      </c>
      <c r="E61" t="s">
        <v>28</v>
      </c>
      <c r="F61" s="41"/>
      <c r="G61" s="43"/>
      <c r="H61" t="s">
        <v>29</v>
      </c>
      <c r="I61" s="72"/>
      <c r="J61" t="s">
        <v>28</v>
      </c>
      <c r="K61" s="62">
        <f t="shared" si="7"/>
        <v>0</v>
      </c>
      <c r="L61" s="58" t="s">
        <v>12</v>
      </c>
      <c r="N61" s="35"/>
      <c r="O61" s="36"/>
      <c r="P61" s="95" t="s">
        <v>76</v>
      </c>
      <c r="Q61" s="95"/>
      <c r="R61" s="95"/>
      <c r="S61" s="95"/>
      <c r="T61" s="95"/>
      <c r="U61" s="95"/>
      <c r="V61" s="95"/>
    </row>
    <row r="62" spans="1:22" x14ac:dyDescent="0.35">
      <c r="A62" t="s">
        <v>27</v>
      </c>
      <c r="B62" s="25">
        <f>B59*0.1666</f>
        <v>0.79967999999999995</v>
      </c>
      <c r="C62" t="s">
        <v>29</v>
      </c>
      <c r="D62" s="25">
        <v>9</v>
      </c>
      <c r="E62" t="s">
        <v>28</v>
      </c>
      <c r="F62" s="41"/>
      <c r="G62" s="43"/>
      <c r="H62" t="s">
        <v>29</v>
      </c>
      <c r="I62" s="72"/>
      <c r="J62" t="s">
        <v>28</v>
      </c>
      <c r="K62" s="62">
        <f t="shared" si="7"/>
        <v>0</v>
      </c>
      <c r="L62" s="58" t="s">
        <v>12</v>
      </c>
      <c r="N62" s="87" t="s">
        <v>77</v>
      </c>
      <c r="O62" s="35"/>
      <c r="P62" s="70" t="str">
        <f>IF($S$62="-","-",($S$62-3))</f>
        <v>-</v>
      </c>
      <c r="Q62" s="70" t="str">
        <f>IF($S$62="-","-",($S$62-2))</f>
        <v>-</v>
      </c>
      <c r="R62" s="70" t="str">
        <f>IF($S$62="-","-",($S$62-1))</f>
        <v>-</v>
      </c>
      <c r="S62" s="70" t="str">
        <f>IF(H89=0,"-",H89)</f>
        <v>-</v>
      </c>
      <c r="T62" s="70" t="str">
        <f>IF($S$62="-","-",($S$62+1))</f>
        <v>-</v>
      </c>
      <c r="U62" s="70" t="str">
        <f>IF($S$62="-","-",($S$62+2))</f>
        <v>-</v>
      </c>
      <c r="V62" s="70" t="str">
        <f>IF($S$62="-","-",($S$62+3))</f>
        <v>-</v>
      </c>
    </row>
    <row r="63" spans="1:22" x14ac:dyDescent="0.35">
      <c r="A63" t="s">
        <v>26</v>
      </c>
      <c r="B63" s="41">
        <f>K70</f>
        <v>43</v>
      </c>
      <c r="C63" t="s">
        <v>30</v>
      </c>
      <c r="D63" s="25">
        <v>0.2</v>
      </c>
      <c r="E63" t="s">
        <v>50</v>
      </c>
      <c r="F63" s="41"/>
      <c r="G63" s="8"/>
      <c r="H63" t="s">
        <v>30</v>
      </c>
      <c r="I63" s="72"/>
      <c r="J63" t="s">
        <v>50</v>
      </c>
      <c r="K63" s="62">
        <f t="shared" si="7"/>
        <v>0</v>
      </c>
      <c r="L63" s="58" t="s">
        <v>12</v>
      </c>
      <c r="N63" s="87"/>
      <c r="O63" s="70" t="str">
        <f>IF($O$66="-","-",$O$66-3)</f>
        <v>-</v>
      </c>
      <c r="P63" s="25" t="str">
        <f>IF(AND($C$78&gt;0, $S$62&lt;&gt;"-",$O$66&lt;&gt;"-"),IF(((($D$91+$C$80)-(P$62*$C$76)-($O63*$C$77))/$C$78)&gt;0,((($D$91+$C$80)-(P$62*$C$76)-($O63*$C$77))/$C$78),"VC"),"-")</f>
        <v>-</v>
      </c>
      <c r="Q63" s="25" t="str">
        <f t="shared" ref="Q63:V69" si="8">IF(AND($C$78&gt;0, $S$62&lt;&gt;"-",$O$66&lt;&gt;"-"),IF(((($D$91+$C$80)-(Q$62*$C$76)-($O63*$C$77))/$C$78)&gt;0,((($D$91+$C$80)-(Q$62*$C$76)-($O63*$C$77))/$C$78),"VC"),"-")</f>
        <v>-</v>
      </c>
      <c r="R63" s="25" t="str">
        <f t="shared" si="8"/>
        <v>-</v>
      </c>
      <c r="S63" s="25" t="str">
        <f t="shared" si="8"/>
        <v>-</v>
      </c>
      <c r="T63" s="25" t="str">
        <f t="shared" si="8"/>
        <v>-</v>
      </c>
      <c r="U63" s="25" t="str">
        <f t="shared" si="8"/>
        <v>-</v>
      </c>
      <c r="V63" s="25" t="str">
        <f t="shared" si="8"/>
        <v>-</v>
      </c>
    </row>
    <row r="64" spans="1:22" x14ac:dyDescent="0.35">
      <c r="A64" t="s">
        <v>48</v>
      </c>
      <c r="B64" s="11">
        <v>1</v>
      </c>
      <c r="C64" t="s">
        <v>13</v>
      </c>
      <c r="D64" s="11">
        <v>7.25</v>
      </c>
      <c r="E64" t="s">
        <v>124</v>
      </c>
      <c r="F64" s="41"/>
      <c r="G64" s="72"/>
      <c r="H64" t="s">
        <v>13</v>
      </c>
      <c r="I64" s="72"/>
      <c r="J64" t="s">
        <v>124</v>
      </c>
      <c r="K64" s="62">
        <f t="shared" si="7"/>
        <v>0</v>
      </c>
      <c r="L64" s="58" t="s">
        <v>12</v>
      </c>
      <c r="N64" s="87"/>
      <c r="O64" s="70" t="str">
        <f>IF($O$66="-","-",$O$66-2)</f>
        <v>-</v>
      </c>
      <c r="P64" s="25" t="str">
        <f t="shared" ref="P64:P69" si="9">IF(AND($C$78&gt;0, $S$62&lt;&gt;"-",$O$66&lt;&gt;"-"),IF(((($D$91+$C$80)-(P$62*$C$76)-($O64*$C$77))/$C$78)&gt;0,((($D$91+$C$80)-(P$62*$C$76)-($O64*$C$77))/$C$78),"VC"),"-")</f>
        <v>-</v>
      </c>
      <c r="Q64" s="25" t="str">
        <f t="shared" si="8"/>
        <v>-</v>
      </c>
      <c r="R64" s="25" t="str">
        <f t="shared" si="8"/>
        <v>-</v>
      </c>
      <c r="S64" s="25" t="str">
        <f t="shared" si="8"/>
        <v>-</v>
      </c>
      <c r="T64" s="25" t="str">
        <f t="shared" si="8"/>
        <v>-</v>
      </c>
      <c r="U64" s="25" t="str">
        <f t="shared" si="8"/>
        <v>-</v>
      </c>
      <c r="V64" s="25" t="str">
        <f t="shared" si="8"/>
        <v>-</v>
      </c>
    </row>
    <row r="65" spans="1:22" x14ac:dyDescent="0.35">
      <c r="A65" t="s">
        <v>49</v>
      </c>
      <c r="B65" s="11">
        <v>4</v>
      </c>
      <c r="C65" t="s">
        <v>51</v>
      </c>
      <c r="D65" s="11">
        <v>1.5E-3</v>
      </c>
      <c r="E65" t="s">
        <v>14</v>
      </c>
      <c r="F65" s="41"/>
      <c r="G65" s="72"/>
      <c r="H65" t="s">
        <v>51</v>
      </c>
      <c r="I65" s="5"/>
      <c r="J65" t="s">
        <v>14</v>
      </c>
      <c r="K65" s="62">
        <f t="shared" si="7"/>
        <v>0</v>
      </c>
      <c r="L65" s="58" t="s">
        <v>12</v>
      </c>
      <c r="N65" s="87"/>
      <c r="O65" s="70" t="str">
        <f>IF($O$66="-","-",$O$66-1)</f>
        <v>-</v>
      </c>
      <c r="P65" s="25" t="str">
        <f t="shared" si="9"/>
        <v>-</v>
      </c>
      <c r="Q65" s="25" t="str">
        <f t="shared" si="8"/>
        <v>-</v>
      </c>
      <c r="R65" s="25" t="str">
        <f t="shared" si="8"/>
        <v>-</v>
      </c>
      <c r="S65" s="25" t="str">
        <f t="shared" si="8"/>
        <v>-</v>
      </c>
      <c r="T65" s="25" t="str">
        <f t="shared" si="8"/>
        <v>-</v>
      </c>
      <c r="U65" s="25" t="str">
        <f t="shared" si="8"/>
        <v>-</v>
      </c>
      <c r="V65" s="25" t="str">
        <f t="shared" si="8"/>
        <v>-</v>
      </c>
    </row>
    <row r="66" spans="1:22" x14ac:dyDescent="0.35">
      <c r="B66" s="11"/>
      <c r="D66" s="11"/>
      <c r="F66" s="41"/>
      <c r="J66" t="s">
        <v>114</v>
      </c>
      <c r="K66" s="79">
        <v>45</v>
      </c>
      <c r="L66" s="58"/>
      <c r="N66" s="87"/>
      <c r="O66" s="70" t="str">
        <f>IF(H90=0,"-",H90)</f>
        <v>-</v>
      </c>
      <c r="P66" s="25" t="str">
        <f t="shared" si="9"/>
        <v>-</v>
      </c>
      <c r="Q66" s="25" t="str">
        <f t="shared" si="8"/>
        <v>-</v>
      </c>
      <c r="R66" s="25" t="str">
        <f t="shared" si="8"/>
        <v>-</v>
      </c>
      <c r="S66" s="25" t="str">
        <f t="shared" si="8"/>
        <v>-</v>
      </c>
      <c r="T66" s="25" t="str">
        <f t="shared" si="8"/>
        <v>-</v>
      </c>
      <c r="U66" s="25" t="str">
        <f t="shared" si="8"/>
        <v>-</v>
      </c>
      <c r="V66" s="25" t="str">
        <f t="shared" si="8"/>
        <v>-</v>
      </c>
    </row>
    <row r="67" spans="1:22" x14ac:dyDescent="0.35">
      <c r="B67" s="11"/>
      <c r="D67" s="11"/>
      <c r="F67" s="41"/>
      <c r="K67" s="62"/>
      <c r="L67" s="58"/>
      <c r="N67" s="87"/>
      <c r="O67" s="70" t="str">
        <f>IF($O$66="-","-",$O$66+1)</f>
        <v>-</v>
      </c>
      <c r="P67" s="25" t="str">
        <f t="shared" si="9"/>
        <v>-</v>
      </c>
      <c r="Q67" s="25" t="str">
        <f t="shared" si="8"/>
        <v>-</v>
      </c>
      <c r="R67" s="25" t="str">
        <f t="shared" si="8"/>
        <v>-</v>
      </c>
      <c r="S67" s="25" t="str">
        <f t="shared" si="8"/>
        <v>-</v>
      </c>
      <c r="T67" s="25" t="str">
        <f t="shared" si="8"/>
        <v>-</v>
      </c>
      <c r="U67" s="25" t="str">
        <f t="shared" si="8"/>
        <v>-</v>
      </c>
      <c r="V67" s="25" t="str">
        <f t="shared" si="8"/>
        <v>-</v>
      </c>
    </row>
    <row r="68" spans="1:22" x14ac:dyDescent="0.35">
      <c r="F68" s="11"/>
      <c r="G68" s="11"/>
      <c r="H68" s="11"/>
      <c r="K68" s="22" t="s">
        <v>73</v>
      </c>
      <c r="L68" s="67" t="s">
        <v>64</v>
      </c>
      <c r="N68" s="87"/>
      <c r="O68" s="70" t="str">
        <f>IF($O$66="-","-",$O$66+2)</f>
        <v>-</v>
      </c>
      <c r="P68" s="25" t="str">
        <f t="shared" si="9"/>
        <v>-</v>
      </c>
      <c r="Q68" s="25" t="str">
        <f t="shared" si="8"/>
        <v>-</v>
      </c>
      <c r="R68" s="25" t="str">
        <f t="shared" si="8"/>
        <v>-</v>
      </c>
      <c r="S68" s="25" t="str">
        <f t="shared" si="8"/>
        <v>-</v>
      </c>
      <c r="T68" s="25" t="str">
        <f t="shared" si="8"/>
        <v>-</v>
      </c>
      <c r="U68" s="25" t="str">
        <f t="shared" si="8"/>
        <v>-</v>
      </c>
      <c r="V68" s="25" t="str">
        <f t="shared" si="8"/>
        <v>-</v>
      </c>
    </row>
    <row r="69" spans="1:22" x14ac:dyDescent="0.35">
      <c r="G69" s="11"/>
      <c r="H69" s="11"/>
      <c r="I69" s="20" t="s">
        <v>101</v>
      </c>
      <c r="J69" s="20"/>
      <c r="K69" s="51">
        <f>SUMPRODUCT(B59:B65,D59:D65)</f>
        <v>33.532960000000003</v>
      </c>
      <c r="L69" s="63">
        <f>SUM(K59:K65)</f>
        <v>0</v>
      </c>
      <c r="N69" s="87"/>
      <c r="O69" s="70" t="str">
        <f>IF($O$66="-","-",$O$66+3)</f>
        <v>-</v>
      </c>
      <c r="P69" s="25" t="str">
        <f t="shared" si="9"/>
        <v>-</v>
      </c>
      <c r="Q69" s="25" t="str">
        <f t="shared" si="8"/>
        <v>-</v>
      </c>
      <c r="R69" s="25" t="str">
        <f t="shared" si="8"/>
        <v>-</v>
      </c>
      <c r="S69" s="25" t="str">
        <f t="shared" si="8"/>
        <v>-</v>
      </c>
      <c r="T69" s="25" t="str">
        <f t="shared" si="8"/>
        <v>-</v>
      </c>
      <c r="U69" s="25" t="str">
        <f t="shared" si="8"/>
        <v>-</v>
      </c>
      <c r="V69" s="25" t="str">
        <f t="shared" si="8"/>
        <v>-</v>
      </c>
    </row>
    <row r="70" spans="1:22" x14ac:dyDescent="0.35">
      <c r="G70" s="11"/>
      <c r="H70" s="11"/>
      <c r="I70" s="11" t="s">
        <v>102</v>
      </c>
      <c r="J70" s="11"/>
      <c r="K70" s="37">
        <f>ROUNDDOWN((B59*9),0)</f>
        <v>43</v>
      </c>
      <c r="L70" s="76">
        <f>C78</f>
        <v>50</v>
      </c>
      <c r="N70" s="71"/>
      <c r="P70" s="25"/>
      <c r="Q70" s="25"/>
      <c r="R70" s="25"/>
      <c r="S70" s="25"/>
      <c r="T70" s="25"/>
      <c r="U70" s="25"/>
      <c r="V70" s="25"/>
    </row>
    <row r="71" spans="1:22" x14ac:dyDescent="0.35">
      <c r="G71" s="11"/>
      <c r="H71" s="11"/>
      <c r="I71" s="11" t="s">
        <v>103</v>
      </c>
      <c r="J71" s="11"/>
      <c r="K71" s="53">
        <f>K69/K70</f>
        <v>0.77983627906976749</v>
      </c>
      <c r="L71" s="64" t="str">
        <f>IF(AND(L69&gt;0, L70&gt;0),(L69/L70), "-")</f>
        <v>-</v>
      </c>
      <c r="N71" s="71"/>
      <c r="P71" s="25"/>
      <c r="Q71" s="25"/>
      <c r="R71" s="25"/>
      <c r="S71" s="25"/>
      <c r="T71" s="25"/>
      <c r="U71" s="25"/>
      <c r="V71" s="25"/>
    </row>
    <row r="72" spans="1:22" x14ac:dyDescent="0.35">
      <c r="J72" s="54"/>
      <c r="K72" s="22" t="s">
        <v>99</v>
      </c>
      <c r="L72" s="21" t="s">
        <v>98</v>
      </c>
      <c r="M72" s="9"/>
    </row>
    <row r="73" spans="1:22" x14ac:dyDescent="0.35">
      <c r="I73" s="20"/>
      <c r="J73" s="20"/>
      <c r="K73" s="53">
        <f>SUM(K41,K54,K69)</f>
        <v>372.13745439999997</v>
      </c>
      <c r="L73" s="51">
        <f>L41+L54+L69</f>
        <v>0</v>
      </c>
      <c r="M73" s="18"/>
    </row>
    <row r="74" spans="1:22" x14ac:dyDescent="0.35">
      <c r="J74" s="20"/>
      <c r="K74" s="13"/>
    </row>
    <row r="75" spans="1:22" x14ac:dyDescent="0.35">
      <c r="B75" s="23" t="s">
        <v>73</v>
      </c>
      <c r="C75" s="23" t="s">
        <v>64</v>
      </c>
    </row>
    <row r="76" spans="1:22" x14ac:dyDescent="0.35">
      <c r="A76" s="9" t="s">
        <v>129</v>
      </c>
      <c r="B76" s="18">
        <v>40</v>
      </c>
      <c r="C76" s="59">
        <v>10</v>
      </c>
      <c r="D76" s="39"/>
    </row>
    <row r="77" spans="1:22" x14ac:dyDescent="0.35">
      <c r="A77" s="9" t="s">
        <v>109</v>
      </c>
      <c r="B77" s="60">
        <f>K55</f>
        <v>11</v>
      </c>
      <c r="C77" s="59">
        <v>15</v>
      </c>
      <c r="D77" s="39"/>
    </row>
    <row r="78" spans="1:22" x14ac:dyDescent="0.35">
      <c r="A78" s="9" t="s">
        <v>107</v>
      </c>
      <c r="B78" s="60">
        <f>K70</f>
        <v>43</v>
      </c>
      <c r="C78" s="59">
        <v>50</v>
      </c>
      <c r="D78" s="39"/>
    </row>
    <row r="79" spans="1:22" x14ac:dyDescent="0.35">
      <c r="A79" s="16" t="s">
        <v>9</v>
      </c>
      <c r="B79" s="48">
        <f>K32</f>
        <v>1114.55</v>
      </c>
      <c r="C79" s="48">
        <f>L32</f>
        <v>684.2</v>
      </c>
      <c r="D79" s="14"/>
    </row>
    <row r="80" spans="1:22" x14ac:dyDescent="0.35">
      <c r="A80" s="16" t="s">
        <v>10</v>
      </c>
      <c r="B80" s="48">
        <f>K73</f>
        <v>372.13745439999997</v>
      </c>
      <c r="C80" s="48">
        <f>L73</f>
        <v>0</v>
      </c>
      <c r="D80" s="14"/>
    </row>
    <row r="81" spans="1:11" x14ac:dyDescent="0.35">
      <c r="A81" s="16" t="s">
        <v>5</v>
      </c>
      <c r="B81" s="49">
        <f>SUM(B79,B80)</f>
        <v>1486.6874544</v>
      </c>
      <c r="C81" s="49">
        <f>SUM(C79:C80)</f>
        <v>684.2</v>
      </c>
      <c r="D81" s="15"/>
    </row>
    <row r="82" spans="1:11" x14ac:dyDescent="0.35">
      <c r="A82" s="9"/>
      <c r="B82" s="15"/>
      <c r="C82" s="15"/>
      <c r="D82" s="15"/>
    </row>
    <row r="83" spans="1:11" x14ac:dyDescent="0.35">
      <c r="A83" s="9"/>
      <c r="B83" s="13"/>
      <c r="C83" s="13"/>
      <c r="D83" s="13"/>
    </row>
    <row r="84" spans="1:11" x14ac:dyDescent="0.35">
      <c r="A84" s="94" t="s">
        <v>97</v>
      </c>
      <c r="B84" s="94"/>
      <c r="C84" s="16" t="s">
        <v>73</v>
      </c>
      <c r="D84" s="45" t="s">
        <v>64</v>
      </c>
      <c r="E84" s="96" t="s">
        <v>83</v>
      </c>
      <c r="F84" s="96"/>
      <c r="G84" s="66" t="s">
        <v>73</v>
      </c>
      <c r="H84" s="77" t="s">
        <v>65</v>
      </c>
    </row>
    <row r="85" spans="1:11" x14ac:dyDescent="0.35">
      <c r="A85" s="18" t="s">
        <v>37</v>
      </c>
      <c r="B85" s="18"/>
      <c r="C85" s="74">
        <v>0.1</v>
      </c>
      <c r="D85" s="56"/>
      <c r="E85" s="9" t="s">
        <v>56</v>
      </c>
      <c r="F85" s="9"/>
      <c r="G85" s="42">
        <v>8</v>
      </c>
      <c r="H85" s="83">
        <v>15</v>
      </c>
    </row>
    <row r="86" spans="1:11" x14ac:dyDescent="0.35">
      <c r="A86" t="s">
        <v>119</v>
      </c>
      <c r="C86" s="57">
        <f>(B79-0)/5</f>
        <v>222.91</v>
      </c>
      <c r="D86" s="57">
        <f>(C79-0)/5</f>
        <v>136.84</v>
      </c>
      <c r="E86" s="9" t="s">
        <v>57</v>
      </c>
      <c r="F86" s="9"/>
      <c r="G86" s="42">
        <v>5</v>
      </c>
      <c r="H86" s="84">
        <v>1</v>
      </c>
    </row>
    <row r="87" spans="1:11" x14ac:dyDescent="0.35">
      <c r="A87" t="s">
        <v>54</v>
      </c>
      <c r="C87" s="57">
        <f>((B79+0)/2)*C85</f>
        <v>55.727499999999999</v>
      </c>
      <c r="D87" s="57">
        <f>((C79+0)/2)*D85</f>
        <v>0</v>
      </c>
      <c r="E87" s="16" t="s">
        <v>58</v>
      </c>
      <c r="F87" s="16"/>
      <c r="G87" s="42">
        <f>IF(S28&gt;K56,S28,"Charge Variable Cost")</f>
        <v>42.863859490909093</v>
      </c>
      <c r="H87" s="101" t="str">
        <f>IF(OR(C76="", C77="",C78=""),"-",IF(S52&lt;&gt;"VC",S52,"Charge Variable Cost"))</f>
        <v>Charge Variable Cost</v>
      </c>
      <c r="I87" s="101"/>
      <c r="J87" s="9" t="str">
        <f>IF(J88="","","Variable Cost")</f>
        <v>Variable Cost</v>
      </c>
    </row>
    <row r="88" spans="1:11" x14ac:dyDescent="0.35">
      <c r="A88" t="s">
        <v>53</v>
      </c>
      <c r="C88" s="57">
        <f>B79*0.05</f>
        <v>55.727499999999999</v>
      </c>
      <c r="D88" s="57">
        <f>C79*0.05</f>
        <v>34.21</v>
      </c>
      <c r="G88" s="78"/>
      <c r="H88" s="17"/>
      <c r="J88" s="1" t="str">
        <f>IF(H87="Charge Variable Cost",L56,"")</f>
        <v>-</v>
      </c>
    </row>
    <row r="89" spans="1:11" x14ac:dyDescent="0.35">
      <c r="A89" t="s">
        <v>55</v>
      </c>
      <c r="C89" s="57">
        <v>0</v>
      </c>
      <c r="D89" s="57">
        <v>0</v>
      </c>
      <c r="E89" s="9" t="s">
        <v>56</v>
      </c>
      <c r="F89" s="9"/>
      <c r="G89" s="42">
        <v>8</v>
      </c>
      <c r="H89" s="83"/>
    </row>
    <row r="90" spans="1:11" x14ac:dyDescent="0.35">
      <c r="A90" t="s">
        <v>61</v>
      </c>
      <c r="C90" s="57">
        <v>300</v>
      </c>
      <c r="D90" s="73"/>
      <c r="E90" s="9" t="s">
        <v>60</v>
      </c>
      <c r="F90" s="9"/>
      <c r="G90" s="42">
        <v>15</v>
      </c>
      <c r="H90" s="83"/>
    </row>
    <row r="91" spans="1:11" x14ac:dyDescent="0.35">
      <c r="A91" s="9" t="s">
        <v>82</v>
      </c>
      <c r="B91" s="9"/>
      <c r="C91" s="57">
        <f>SUM(C86:C90)</f>
        <v>634.36500000000001</v>
      </c>
      <c r="D91" s="57">
        <f>SUM(D86:D90)</f>
        <v>171.05</v>
      </c>
      <c r="E91" s="16" t="s">
        <v>59</v>
      </c>
      <c r="F91" s="16"/>
      <c r="G91" s="42">
        <f>IF(S39&gt;K71,S39,"Charge Variable Cost")</f>
        <v>12.127964055813955</v>
      </c>
      <c r="H91" s="48" t="str">
        <f>IF(OR(C76="", C77="",C78=""),"-",IF(S66&lt;&gt;"VC",S66,"Charge Variable Cost"))</f>
        <v>-</v>
      </c>
      <c r="J91" s="9" t="str">
        <f>IF(J92="","","Variable Cost")</f>
        <v/>
      </c>
    </row>
    <row r="92" spans="1:11" x14ac:dyDescent="0.35">
      <c r="J92" s="1" t="str">
        <f>IF(H91="Charge Variable Cost",L71,"")</f>
        <v/>
      </c>
    </row>
    <row r="94" spans="1:11" x14ac:dyDescent="0.35">
      <c r="I94" s="9"/>
    </row>
    <row r="95" spans="1:11" x14ac:dyDescent="0.35">
      <c r="A95" s="89" t="s">
        <v>45</v>
      </c>
      <c r="B95" s="89"/>
      <c r="C95" s="89"/>
      <c r="D95" s="89"/>
      <c r="E95" s="89"/>
      <c r="F95" s="89"/>
      <c r="G95" s="9"/>
      <c r="H95" s="9"/>
      <c r="J95" s="9"/>
      <c r="K95" s="9"/>
    </row>
    <row r="96" spans="1:11" x14ac:dyDescent="0.35">
      <c r="A96" s="9"/>
      <c r="B96" s="9"/>
      <c r="C96" s="9"/>
      <c r="D96" s="9"/>
      <c r="E96" s="9"/>
    </row>
    <row r="97" spans="1:8" x14ac:dyDescent="0.35">
      <c r="B97" s="9" t="s">
        <v>7</v>
      </c>
      <c r="C97" s="9"/>
      <c r="D97" s="9" t="s">
        <v>47</v>
      </c>
      <c r="F97" s="20" t="s">
        <v>24</v>
      </c>
      <c r="G97" s="20"/>
      <c r="H97" s="20"/>
    </row>
    <row r="98" spans="1:8" x14ac:dyDescent="0.35">
      <c r="A98" t="s">
        <v>6</v>
      </c>
      <c r="B98" s="4"/>
      <c r="C98" s="11"/>
      <c r="D98" s="4"/>
      <c r="E98" t="s">
        <v>126</v>
      </c>
      <c r="F98" s="11">
        <f>B98*D98</f>
        <v>0</v>
      </c>
      <c r="G98" s="11"/>
      <c r="H98" s="11"/>
    </row>
    <row r="99" spans="1:8" x14ac:dyDescent="0.35">
      <c r="A99" t="s">
        <v>22</v>
      </c>
      <c r="B99" s="5"/>
      <c r="C99" s="11"/>
      <c r="D99" s="5"/>
      <c r="E99" t="s">
        <v>34</v>
      </c>
      <c r="F99" s="11">
        <f>B99*D99</f>
        <v>0</v>
      </c>
      <c r="G99" s="11"/>
      <c r="H99" s="11"/>
    </row>
    <row r="100" spans="1:8" x14ac:dyDescent="0.35">
      <c r="A100" t="s">
        <v>31</v>
      </c>
      <c r="B100" s="5"/>
      <c r="C100" s="11"/>
      <c r="D100" s="5"/>
      <c r="E100" t="s">
        <v>35</v>
      </c>
      <c r="F100" s="11">
        <f>B100*D100</f>
        <v>0</v>
      </c>
      <c r="G100" s="11"/>
      <c r="H100" s="11"/>
    </row>
    <row r="102" spans="1:8" x14ac:dyDescent="0.35">
      <c r="A102" s="16" t="s">
        <v>8</v>
      </c>
      <c r="B102" s="19" t="str">
        <f>IF(SUM(F98:F100)=0,"",SUM(F98:F100))</f>
        <v/>
      </c>
      <c r="C102" s="20"/>
      <c r="D102" s="20"/>
    </row>
    <row r="103" spans="1:8" x14ac:dyDescent="0.35">
      <c r="A103" s="16" t="s">
        <v>86</v>
      </c>
      <c r="B103" s="19" t="str">
        <f>IF(SUM(F98:F100)=0,"",B102-C81)</f>
        <v/>
      </c>
      <c r="C103" s="20"/>
      <c r="D103" s="20"/>
    </row>
    <row r="104" spans="1:8" x14ac:dyDescent="0.35">
      <c r="A104" s="16" t="s">
        <v>100</v>
      </c>
      <c r="B104" s="40" t="str">
        <f>IF(SUM(F98:F100)=0,"",B102-(D91+C80))</f>
        <v/>
      </c>
    </row>
    <row r="105" spans="1:8" x14ac:dyDescent="0.35">
      <c r="A105" s="9"/>
    </row>
  </sheetData>
  <sheetProtection algorithmName="SHA-512" hashValue="O2xQGG7pyZoqbV/I23X8reYCWil/jVv3AomtyGXQtIC3HNUKwPYmLsvRKvTviOr4mSZ8AHwTy0N8nR8NmhHkRg==" saltValue="b2CjSKf3l09MmLRBwClDEg==" spinCount="100000" sheet="1" objects="1" scenarios="1"/>
  <mergeCells count="38">
    <mergeCell ref="G17:I17"/>
    <mergeCell ref="A1:L1"/>
    <mergeCell ref="J2:K2"/>
    <mergeCell ref="A3:J3"/>
    <mergeCell ref="B5:D5"/>
    <mergeCell ref="F5:I5"/>
    <mergeCell ref="I6:J6"/>
    <mergeCell ref="B13:C13"/>
    <mergeCell ref="F13:G13"/>
    <mergeCell ref="F14:G14"/>
    <mergeCell ref="G16:I16"/>
    <mergeCell ref="K16:L16"/>
    <mergeCell ref="B43:E43"/>
    <mergeCell ref="F43:K43"/>
    <mergeCell ref="B19:E19"/>
    <mergeCell ref="F19:K19"/>
    <mergeCell ref="N19:V19"/>
    <mergeCell ref="O22:V22"/>
    <mergeCell ref="P23:V23"/>
    <mergeCell ref="N24:N31"/>
    <mergeCell ref="B27:E27"/>
    <mergeCell ref="F27:K27"/>
    <mergeCell ref="P33:V33"/>
    <mergeCell ref="B34:E34"/>
    <mergeCell ref="F34:K34"/>
    <mergeCell ref="P34:V34"/>
    <mergeCell ref="N35:N42"/>
    <mergeCell ref="N62:N69"/>
    <mergeCell ref="A84:B84"/>
    <mergeCell ref="E84:F84"/>
    <mergeCell ref="A95:F95"/>
    <mergeCell ref="N44:V44"/>
    <mergeCell ref="N46:V46"/>
    <mergeCell ref="P47:V47"/>
    <mergeCell ref="N48:N55"/>
    <mergeCell ref="N60:V60"/>
    <mergeCell ref="P61:V61"/>
    <mergeCell ref="H87:I87"/>
  </mergeCells>
  <hyperlinks>
    <hyperlink ref="A3:I3" r:id="rId1" display="Enter number from cell G44 on Fact Sheet AGEC-2002" xr:uid="{00000000-0004-0000-01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 product 8 oz honey</vt:lpstr>
      <vt:lpstr>Multi product 1 lb honey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Camryn</dc:creator>
  <cp:lastModifiedBy>CBir</cp:lastModifiedBy>
  <cp:lastPrinted>2022-04-05T19:46:25Z</cp:lastPrinted>
  <dcterms:created xsi:type="dcterms:W3CDTF">2022-02-22T20:34:32Z</dcterms:created>
  <dcterms:modified xsi:type="dcterms:W3CDTF">2023-07-24T23:24:57Z</dcterms:modified>
</cp:coreProperties>
</file>