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Factsheet/AGEC-263/"/>
    </mc:Choice>
  </mc:AlternateContent>
  <xr:revisionPtr revIDLastSave="0" documentId="8_{B107665C-D4A6-4820-889E-0C2C6EE23915}" xr6:coauthVersionLast="47" xr6:coauthVersionMax="47" xr10:uidLastSave="{00000000-0000-0000-0000-000000000000}"/>
  <bookViews>
    <workbookView xWindow="3384" yWindow="3432" windowWidth="10548" windowHeight="8916" xr2:uid="{00000000-000D-0000-FFFF-FFFF00000000}"/>
  </bookViews>
  <sheets>
    <sheet name="Producer Info" sheetId="1" r:id="rId1"/>
    <sheet name="Cattle type" sheetId="2" r:id="rId2"/>
    <sheet name="Steers" sheetId="7" r:id="rId3"/>
    <sheet name="Steer cost of gain" sheetId="4" r:id="rId4"/>
    <sheet name="Heifers" sheetId="8" r:id="rId5"/>
    <sheet name="Heifer cost of gain" sheetId="9" state="hidden" r:id="rId6"/>
    <sheet name="Results" sheetId="10" r:id="rId7"/>
    <sheet name="controls" sheetId="12" state="hidden" r:id="rId8"/>
    <sheet name="prices" sheetId="11" state="hidden" r:id="rId9"/>
    <sheet name="basis" sheetId="13" state="hidden" r:id="rId10"/>
  </sheets>
  <externalReferences>
    <externalReference r:id="rId11"/>
  </externalReferences>
  <definedNames>
    <definedName name="gender">#REF!</definedName>
    <definedName name="location" localSheetId="5">#REF!</definedName>
    <definedName name="location" localSheetId="4">#REF!</definedName>
    <definedName name="location">#REF!</definedName>
    <definedName name="locations">[1]lists!$A$2:$A$3</definedName>
    <definedName name="months">[1]lists!$A$7:$A$18</definedName>
    <definedName name="W2_">#REF!</definedName>
    <definedName name="Weigh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R8" i="13"/>
  <c r="R5" i="13"/>
  <c r="Q5" i="13"/>
  <c r="Q8" i="13" s="1"/>
  <c r="R4" i="13"/>
  <c r="R7" i="13" s="1"/>
  <c r="R9" i="13" s="1"/>
  <c r="Q4" i="13"/>
  <c r="P4" i="13"/>
  <c r="Q7" i="13" s="1"/>
  <c r="O5" i="13"/>
  <c r="O4" i="13"/>
  <c r="Q28" i="9"/>
  <c r="Q16" i="9" s="1"/>
  <c r="Q23" i="9" s="1"/>
  <c r="P28" i="9"/>
  <c r="P16" i="9" s="1"/>
  <c r="P23" i="9" s="1"/>
  <c r="O28" i="9"/>
  <c r="O16" i="9" s="1"/>
  <c r="O23" i="9" s="1"/>
  <c r="N28" i="9"/>
  <c r="N16" i="9" s="1"/>
  <c r="N23" i="9" s="1"/>
  <c r="M28" i="9"/>
  <c r="M16" i="9" s="1"/>
  <c r="M23" i="9" s="1"/>
  <c r="L28" i="9"/>
  <c r="L16" i="9" s="1"/>
  <c r="L23" i="9" s="1"/>
  <c r="K28" i="9"/>
  <c r="K16" i="9" s="1"/>
  <c r="K23" i="9" s="1"/>
  <c r="J28" i="9"/>
  <c r="J16" i="9" s="1"/>
  <c r="J23" i="9" s="1"/>
  <c r="I28" i="9"/>
  <c r="I16" i="9" s="1"/>
  <c r="H28" i="9"/>
  <c r="H16" i="9" s="1"/>
  <c r="H23" i="9" s="1"/>
  <c r="Q8" i="9"/>
  <c r="Q11" i="9" s="1"/>
  <c r="P8" i="9"/>
  <c r="P11" i="9" s="1"/>
  <c r="O8" i="9"/>
  <c r="O11" i="9" s="1"/>
  <c r="N8" i="9"/>
  <c r="N11" i="9" s="1"/>
  <c r="M8" i="9"/>
  <c r="M11" i="9" s="1"/>
  <c r="L8" i="9"/>
  <c r="L11" i="9" s="1"/>
  <c r="K8" i="9"/>
  <c r="K11" i="9" s="1"/>
  <c r="J8" i="9"/>
  <c r="J11" i="9" s="1"/>
  <c r="I8" i="9"/>
  <c r="I11" i="9" s="1"/>
  <c r="H8" i="9"/>
  <c r="H11" i="9" s="1"/>
  <c r="Q25" i="9"/>
  <c r="P25" i="9"/>
  <c r="O25" i="9"/>
  <c r="N25" i="9"/>
  <c r="M25" i="9"/>
  <c r="L25" i="9"/>
  <c r="K25" i="9"/>
  <c r="J25" i="9"/>
  <c r="I25" i="9"/>
  <c r="H25" i="9"/>
  <c r="Q8" i="4"/>
  <c r="Q11" i="4" s="1"/>
  <c r="P8" i="4"/>
  <c r="P11" i="4" s="1"/>
  <c r="O8" i="4"/>
  <c r="O11" i="4" s="1"/>
  <c r="N8" i="4"/>
  <c r="N11" i="4" s="1"/>
  <c r="M8" i="4"/>
  <c r="M11" i="4" s="1"/>
  <c r="L8" i="4"/>
  <c r="L11" i="4" s="1"/>
  <c r="K8" i="4"/>
  <c r="K11" i="4" s="1"/>
  <c r="J8" i="4"/>
  <c r="J11" i="4" s="1"/>
  <c r="I8" i="4"/>
  <c r="I11" i="4" s="1"/>
  <c r="H8" i="4"/>
  <c r="H11" i="4" s="1"/>
  <c r="Q28" i="4"/>
  <c r="Q16" i="4" s="1"/>
  <c r="Q23" i="4" s="1"/>
  <c r="P28" i="4"/>
  <c r="P16" i="4" s="1"/>
  <c r="P23" i="4" s="1"/>
  <c r="O28" i="4"/>
  <c r="O16" i="4" s="1"/>
  <c r="O23" i="4" s="1"/>
  <c r="N28" i="4"/>
  <c r="N16" i="4" s="1"/>
  <c r="N23" i="4" s="1"/>
  <c r="M28" i="4"/>
  <c r="M16" i="4" s="1"/>
  <c r="M23" i="4" s="1"/>
  <c r="L28" i="4"/>
  <c r="L16" i="4" s="1"/>
  <c r="L23" i="4" s="1"/>
  <c r="K28" i="4"/>
  <c r="K16" i="4" s="1"/>
  <c r="K23" i="4" s="1"/>
  <c r="J28" i="4"/>
  <c r="J16" i="4" s="1"/>
  <c r="J23" i="4" s="1"/>
  <c r="I28" i="4"/>
  <c r="I16" i="4" s="1"/>
  <c r="I23" i="4" s="1"/>
  <c r="H28" i="4"/>
  <c r="H16" i="4" s="1"/>
  <c r="H23" i="4" s="1"/>
  <c r="F3" i="8"/>
  <c r="G3" i="8" s="1"/>
  <c r="H3" i="8" s="1"/>
  <c r="I3" i="8" s="1"/>
  <c r="J3" i="8" s="1"/>
  <c r="K3" i="8" s="1"/>
  <c r="L3" i="8" s="1"/>
  <c r="M3" i="8" s="1"/>
  <c r="N3" i="8" s="1"/>
  <c r="O3" i="8" s="1"/>
  <c r="Q9" i="13" l="1"/>
  <c r="S7" i="13"/>
  <c r="S8" i="13"/>
  <c r="S9" i="13"/>
  <c r="I23" i="9"/>
  <c r="I24" i="9" s="1"/>
  <c r="I26" i="9" s="1"/>
  <c r="Q24" i="9"/>
  <c r="Q26" i="9" s="1"/>
  <c r="P24" i="9"/>
  <c r="P26" i="9" s="1"/>
  <c r="O24" i="9"/>
  <c r="O26" i="9" s="1"/>
  <c r="M24" i="9"/>
  <c r="M26" i="9" s="1"/>
  <c r="L24" i="9"/>
  <c r="L26" i="9" s="1"/>
  <c r="K24" i="9"/>
  <c r="K26" i="9" s="1"/>
  <c r="J24" i="9"/>
  <c r="J26" i="9" s="1"/>
  <c r="H24" i="9"/>
  <c r="H26" i="9" s="1"/>
  <c r="N24" i="9"/>
  <c r="N26" i="9" s="1"/>
  <c r="F8" i="8"/>
  <c r="G8" i="8"/>
  <c r="F11" i="8"/>
  <c r="F18" i="8" s="1"/>
  <c r="F3" i="7"/>
  <c r="F8" i="7" l="1"/>
  <c r="G3" i="7"/>
  <c r="F17" i="8"/>
  <c r="F19" i="8"/>
  <c r="F15" i="8"/>
  <c r="G11" i="8"/>
  <c r="G18" i="8" s="1"/>
  <c r="F11" i="7"/>
  <c r="F18" i="7" l="1"/>
  <c r="H3" i="7"/>
  <c r="F17" i="7"/>
  <c r="F19" i="7"/>
  <c r="F20" i="8"/>
  <c r="F21" i="8" s="1"/>
  <c r="F24" i="8" s="1"/>
  <c r="G15" i="8"/>
  <c r="G17" i="8"/>
  <c r="G8" i="7"/>
  <c r="H8" i="8"/>
  <c r="G19" i="8"/>
  <c r="H11" i="8"/>
  <c r="H18" i="8" s="1"/>
  <c r="G11" i="7"/>
  <c r="F23" i="8" l="1"/>
  <c r="F25" i="8" s="1"/>
  <c r="G17" i="7"/>
  <c r="G19" i="7"/>
  <c r="I3" i="7"/>
  <c r="G18" i="7"/>
  <c r="G20" i="8"/>
  <c r="G21" i="8" s="1"/>
  <c r="G24" i="8" s="1"/>
  <c r="H8" i="7"/>
  <c r="H15" i="8"/>
  <c r="H17" i="8"/>
  <c r="I8" i="8"/>
  <c r="F22" i="8"/>
  <c r="H19" i="8"/>
  <c r="I11" i="8"/>
  <c r="I18" i="8" s="1"/>
  <c r="H11" i="7"/>
  <c r="G23" i="8" l="1"/>
  <c r="G25" i="8" s="1"/>
  <c r="H19" i="7"/>
  <c r="H17" i="7"/>
  <c r="J3" i="7"/>
  <c r="H18" i="7"/>
  <c r="H20" i="8"/>
  <c r="I8" i="7"/>
  <c r="I15" i="8"/>
  <c r="I17" i="8"/>
  <c r="G22" i="8"/>
  <c r="J8" i="8"/>
  <c r="J11" i="8"/>
  <c r="J18" i="8" s="1"/>
  <c r="I19" i="8"/>
  <c r="I11" i="7"/>
  <c r="G6" i="2"/>
  <c r="I6" i="2" s="1"/>
  <c r="F6" i="2"/>
  <c r="I19" i="7" l="1"/>
  <c r="I17" i="7"/>
  <c r="K3" i="7"/>
  <c r="I18" i="7"/>
  <c r="I20" i="8"/>
  <c r="I21" i="8" s="1"/>
  <c r="H21" i="8"/>
  <c r="J8" i="7"/>
  <c r="J17" i="8"/>
  <c r="J15" i="8"/>
  <c r="K8" i="8"/>
  <c r="K11" i="8"/>
  <c r="K18" i="8" s="1"/>
  <c r="J19" i="8"/>
  <c r="J11" i="7"/>
  <c r="H6" i="2"/>
  <c r="K6" i="2"/>
  <c r="E7" i="2"/>
  <c r="M16" i="1"/>
  <c r="H24" i="8" l="1"/>
  <c r="H23" i="8"/>
  <c r="H25" i="8" s="1"/>
  <c r="I24" i="8"/>
  <c r="I23" i="8"/>
  <c r="I25" i="8" s="1"/>
  <c r="J17" i="7"/>
  <c r="J19" i="7"/>
  <c r="L3" i="7"/>
  <c r="J18" i="7"/>
  <c r="H22" i="8"/>
  <c r="K8" i="7"/>
  <c r="K17" i="8"/>
  <c r="J20" i="8"/>
  <c r="J21" i="8" s="1"/>
  <c r="J24" i="8" s="1"/>
  <c r="L8" i="8"/>
  <c r="L11" i="8"/>
  <c r="L18" i="8" s="1"/>
  <c r="I22" i="8"/>
  <c r="K19" i="8"/>
  <c r="K15" i="8"/>
  <c r="H25" i="4"/>
  <c r="I25" i="4"/>
  <c r="M6" i="2"/>
  <c r="O6" i="2" s="1"/>
  <c r="Q6" i="2" s="1"/>
  <c r="S6" i="2" s="1"/>
  <c r="J6" i="2"/>
  <c r="K11" i="7"/>
  <c r="J23" i="8" l="1"/>
  <c r="J25" i="8" s="1"/>
  <c r="K17" i="7"/>
  <c r="K19" i="7"/>
  <c r="M3" i="7"/>
  <c r="K18" i="7"/>
  <c r="F15" i="7"/>
  <c r="F20" i="7"/>
  <c r="F21" i="7" s="1"/>
  <c r="F24" i="7" s="1"/>
  <c r="G15" i="7"/>
  <c r="G20" i="7"/>
  <c r="G21" i="7" s="1"/>
  <c r="G24" i="7" s="1"/>
  <c r="K20" i="8"/>
  <c r="K21" i="8" s="1"/>
  <c r="L15" i="8"/>
  <c r="L17" i="8"/>
  <c r="L8" i="7"/>
  <c r="M8" i="8"/>
  <c r="L19" i="8"/>
  <c r="J22" i="8"/>
  <c r="M11" i="8"/>
  <c r="M18" i="8" s="1"/>
  <c r="H24" i="4"/>
  <c r="H26" i="4" s="1"/>
  <c r="J25" i="4"/>
  <c r="L6" i="2"/>
  <c r="L11" i="7"/>
  <c r="F23" i="7" l="1"/>
  <c r="G23" i="7"/>
  <c r="L18" i="7"/>
  <c r="K24" i="8"/>
  <c r="K23" i="8"/>
  <c r="K25" i="8" s="1"/>
  <c r="L19" i="7"/>
  <c r="L17" i="7"/>
  <c r="N3" i="7"/>
  <c r="F22" i="7"/>
  <c r="M8" i="7"/>
  <c r="M15" i="8"/>
  <c r="M17" i="8"/>
  <c r="G22" i="7"/>
  <c r="H15" i="7"/>
  <c r="H20" i="7"/>
  <c r="H21" i="7" s="1"/>
  <c r="H24" i="7" s="1"/>
  <c r="L20" i="8"/>
  <c r="L21" i="8" s="1"/>
  <c r="L24" i="8" s="1"/>
  <c r="N8" i="8"/>
  <c r="K22" i="8"/>
  <c r="N11" i="8"/>
  <c r="N18" i="8" s="1"/>
  <c r="M19" i="8"/>
  <c r="I24" i="4"/>
  <c r="I26" i="4" s="1"/>
  <c r="K25" i="4"/>
  <c r="N6" i="2"/>
  <c r="M11" i="7"/>
  <c r="F25" i="7" l="1"/>
  <c r="H23" i="7"/>
  <c r="L23" i="8"/>
  <c r="L25" i="8" s="1"/>
  <c r="M18" i="7"/>
  <c r="G25" i="7"/>
  <c r="O3" i="7"/>
  <c r="M17" i="7"/>
  <c r="M19" i="7"/>
  <c r="H22" i="7"/>
  <c r="M20" i="8"/>
  <c r="M21" i="8" s="1"/>
  <c r="M24" i="8" s="1"/>
  <c r="N15" i="8"/>
  <c r="N17" i="8"/>
  <c r="N8" i="7"/>
  <c r="I15" i="7"/>
  <c r="I20" i="7"/>
  <c r="I21" i="7" s="1"/>
  <c r="I24" i="7" s="1"/>
  <c r="O8" i="8"/>
  <c r="L22" i="8"/>
  <c r="N19" i="8"/>
  <c r="O11" i="8"/>
  <c r="O18" i="8" s="1"/>
  <c r="J24" i="4"/>
  <c r="J26" i="4" s="1"/>
  <c r="L25" i="4"/>
  <c r="P6" i="2"/>
  <c r="R6" i="2" s="1"/>
  <c r="N11" i="7"/>
  <c r="M23" i="8" l="1"/>
  <c r="M25" i="8" s="1"/>
  <c r="I23" i="7"/>
  <c r="N18" i="7"/>
  <c r="H25" i="7"/>
  <c r="N17" i="7"/>
  <c r="N19" i="7"/>
  <c r="N20" i="8"/>
  <c r="N21" i="8" s="1"/>
  <c r="N24" i="8" s="1"/>
  <c r="I22" i="7"/>
  <c r="O8" i="7"/>
  <c r="J15" i="7"/>
  <c r="J20" i="7"/>
  <c r="J21" i="7" s="1"/>
  <c r="J24" i="7" s="1"/>
  <c r="O15" i="8"/>
  <c r="O17" i="8"/>
  <c r="M22" i="8"/>
  <c r="O19" i="8"/>
  <c r="K24" i="4"/>
  <c r="K26" i="4" s="1"/>
  <c r="M25" i="4"/>
  <c r="O11" i="7"/>
  <c r="I25" i="7" l="1"/>
  <c r="J23" i="7"/>
  <c r="N23" i="8"/>
  <c r="N25" i="8" s="1"/>
  <c r="O18" i="7"/>
  <c r="O17" i="7"/>
  <c r="O19" i="7"/>
  <c r="O20" i="8"/>
  <c r="O21" i="8" s="1"/>
  <c r="O24" i="8" s="1"/>
  <c r="J11" i="10" s="1"/>
  <c r="J22" i="7"/>
  <c r="K15" i="7"/>
  <c r="K20" i="7"/>
  <c r="K21" i="7" s="1"/>
  <c r="K24" i="7" s="1"/>
  <c r="N22" i="8"/>
  <c r="L24" i="4"/>
  <c r="L26" i="4" s="1"/>
  <c r="N25" i="4"/>
  <c r="J25" i="7" l="1"/>
  <c r="O23" i="8"/>
  <c r="O25" i="8" s="1"/>
  <c r="K23" i="7"/>
  <c r="L15" i="7"/>
  <c r="L20" i="7"/>
  <c r="L21" i="7" s="1"/>
  <c r="L24" i="7" s="1"/>
  <c r="K22" i="7"/>
  <c r="O22" i="8"/>
  <c r="M24" i="4"/>
  <c r="M26" i="4" s="1"/>
  <c r="O25" i="4"/>
  <c r="K25" i="7" l="1"/>
  <c r="L23" i="7"/>
  <c r="J10" i="10"/>
  <c r="J9" i="10"/>
  <c r="L22" i="7"/>
  <c r="M15" i="7"/>
  <c r="M20" i="7"/>
  <c r="M21" i="7" s="1"/>
  <c r="M24" i="7" s="1"/>
  <c r="N24" i="4"/>
  <c r="N26" i="4" s="1"/>
  <c r="P25" i="4"/>
  <c r="M23" i="7" l="1"/>
  <c r="L25" i="7"/>
  <c r="M22" i="7"/>
  <c r="N15" i="7"/>
  <c r="N20" i="7"/>
  <c r="N21" i="7" s="1"/>
  <c r="N24" i="7" s="1"/>
  <c r="O24" i="4"/>
  <c r="O26" i="4" s="1"/>
  <c r="N23" i="7" l="1"/>
  <c r="M25" i="7"/>
  <c r="N22" i="7"/>
  <c r="Q25" i="4"/>
  <c r="P24" i="4"/>
  <c r="P26" i="4" s="1"/>
  <c r="N25" i="7" l="1"/>
  <c r="O15" i="7"/>
  <c r="O20" i="7"/>
  <c r="O21" i="7" s="1"/>
  <c r="O24" i="7" s="1"/>
  <c r="Q24" i="4"/>
  <c r="Q26" i="4" s="1"/>
  <c r="O23" i="7" l="1"/>
  <c r="F11" i="10"/>
  <c r="O22" i="7"/>
  <c r="F9" i="10" l="1"/>
  <c r="O25" i="7"/>
  <c r="F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DeVuyst</author>
  </authors>
  <commentList>
    <comment ref="G1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Caution--this will download data files from the internet. If you have a slow connection, this process will take several minutes.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<sst xmlns="http://schemas.openxmlformats.org/spreadsheetml/2006/main" count="349" uniqueCount="189">
  <si>
    <t>NAME</t>
  </si>
  <si>
    <t>DEMO</t>
  </si>
  <si>
    <t>Date</t>
  </si>
  <si>
    <t>What location's price data do you want use?</t>
  </si>
  <si>
    <t>The current price data is dated as</t>
  </si>
  <si>
    <t>Do you want to update price data?</t>
  </si>
  <si>
    <t>Expected purchase date</t>
  </si>
  <si>
    <t>Gender</t>
  </si>
  <si>
    <t>Steers</t>
  </si>
  <si>
    <t>Heifers</t>
  </si>
  <si>
    <t>Expected purchase
price ($/cwt)</t>
  </si>
  <si>
    <t>Days in
receiving
program</t>
  </si>
  <si>
    <t>Days
grazing
wheat</t>
  </si>
  <si>
    <t>Weight range</t>
  </si>
  <si>
    <t>ADG in receiving program</t>
  </si>
  <si>
    <t>ADG grazing wheat</t>
  </si>
  <si>
    <t>Percent death loss</t>
  </si>
  <si>
    <t>Lightest
weight</t>
  </si>
  <si>
    <t>Heaviest
weight</t>
  </si>
  <si>
    <t>Stocking density (head/acre)</t>
  </si>
  <si>
    <t>lbs</t>
  </si>
  <si>
    <t>Receiving Program Expenses</t>
  </si>
  <si>
    <t>Transport to pasture</t>
  </si>
  <si>
    <t>Other receiving costs</t>
  </si>
  <si>
    <t>Total receiving program expenses</t>
  </si>
  <si>
    <t>Implant cost ($/head)</t>
  </si>
  <si>
    <t>Freight ($/head)</t>
  </si>
  <si>
    <t>Labor ($/head/day)</t>
  </si>
  <si>
    <t>Equipment and machinery ($/head)</t>
  </si>
  <si>
    <t>Management fee ($/head)</t>
  </si>
  <si>
    <t>Other</t>
  </si>
  <si>
    <t>$/cwt</t>
  </si>
  <si>
    <t>$/head</t>
  </si>
  <si>
    <t>Veterinary cost</t>
  </si>
  <si>
    <t>Marketing cost</t>
  </si>
  <si>
    <t>Other costs per month</t>
  </si>
  <si>
    <t>Cost of gain</t>
  </si>
  <si>
    <t>$/lb</t>
  </si>
  <si>
    <t>Interest rate</t>
  </si>
  <si>
    <t>%</t>
  </si>
  <si>
    <t>Revenue</t>
  </si>
  <si>
    <t>Sales weight</t>
  </si>
  <si>
    <t>lbs/head</t>
  </si>
  <si>
    <t>Sales price</t>
  </si>
  <si>
    <t>Gross Revenue</t>
  </si>
  <si>
    <t>Expense per head sold</t>
  </si>
  <si>
    <t>Purchase</t>
  </si>
  <si>
    <t>Vet, Marketing and Other</t>
  </si>
  <si>
    <t>Interest expense</t>
  </si>
  <si>
    <t>Total Expense</t>
  </si>
  <si>
    <t>Net Return</t>
  </si>
  <si>
    <t>Breakeven Price</t>
  </si>
  <si>
    <t>Net Return per acre</t>
  </si>
  <si>
    <t>$/acre</t>
  </si>
  <si>
    <r>
      <t xml:space="preserve">Wheat Stocker Enterprise Budget
</t>
    </r>
    <r>
      <rPr>
        <b/>
        <sz val="16"/>
        <color theme="1"/>
        <rFont val="Calibri"/>
        <family val="2"/>
        <scheme val="minor"/>
      </rPr>
      <t>Steers</t>
    </r>
  </si>
  <si>
    <t>Purchase weight (lbs)</t>
  </si>
  <si>
    <t>Sales date</t>
  </si>
  <si>
    <t>Expenses during grazing</t>
  </si>
  <si>
    <t>Total grazing expenses</t>
  </si>
  <si>
    <t>Total Expenses</t>
  </si>
  <si>
    <t>Expected weight gain (lbs)</t>
  </si>
  <si>
    <t>Cost of gain excluding vet, marketing
and other expenses ($/lbs)</t>
  </si>
  <si>
    <r>
      <t xml:space="preserve">Wheat Stocker Enterprise Budget
</t>
    </r>
    <r>
      <rPr>
        <b/>
        <sz val="16"/>
        <color theme="1"/>
        <rFont val="Calibri"/>
        <family val="2"/>
        <scheme val="minor"/>
      </rPr>
      <t>Heifers</t>
    </r>
  </si>
  <si>
    <t>Results</t>
  </si>
  <si>
    <t>$</t>
  </si>
  <si>
    <t>Purchase weight</t>
  </si>
  <si>
    <t>Highest Return--$/hd</t>
  </si>
  <si>
    <t>Highest Return--$/acre</t>
  </si>
  <si>
    <t>Lowest breakeven--$/cwt</t>
  </si>
  <si>
    <t>build date</t>
  </si>
  <si>
    <t>To copy a cell's value down, double click on the cell you want to copy downward.</t>
  </si>
  <si>
    <t>Hay</t>
  </si>
  <si>
    <t>$/ton</t>
  </si>
  <si>
    <t>Supplement</t>
  </si>
  <si>
    <t>oz fed per day</t>
  </si>
  <si>
    <t>Mineral</t>
  </si>
  <si>
    <t>days</t>
  </si>
  <si>
    <t>Pasture rent</t>
  </si>
  <si>
    <t>Feed cost during receiving</t>
  </si>
  <si>
    <t>Feed &amp; pasture during grazing</t>
  </si>
  <si>
    <t>$/cwt/month</t>
  </si>
  <si>
    <t>lb/day</t>
  </si>
  <si>
    <t>ounces/day</t>
  </si>
  <si>
    <t>updated</t>
  </si>
  <si>
    <t>LS214OK</t>
  </si>
  <si>
    <t>KO_LS795</t>
  </si>
  <si>
    <t>okc</t>
  </si>
  <si>
    <t>FEEDER CATTLE STEERS</t>
  </si>
  <si>
    <t>MEDIUM AND LARGE FRAME #1</t>
  </si>
  <si>
    <t>FEEDER CATTLE HEIFERS</t>
  </si>
  <si>
    <t>-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</si>
  <si>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</si>
  <si>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</si>
  <si>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</si>
  <si>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</si>
  <si>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</si>
  <si>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</si>
  <si>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</si>
  <si>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</si>
  <si>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</si>
  <si>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</si>
  <si>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</si>
  <si>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</si>
  <si>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</si>
  <si>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</si>
  <si>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</si>
  <si>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</si>
  <si>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</si>
  <si>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</si>
  <si>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</si>
  <si>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</si>
  <si>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: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</si>
  <si>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</si>
  <si>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</si>
  <si>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</si>
  <si>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</si>
  <si>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</si>
  <si>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</si>
  <si>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</si>
  <si>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</si>
  <si>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</si>
  <si>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</si>
  <si>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</si>
  <si>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</si>
  <si>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</si>
  <si>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</si>
  <si>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</si>
  <si>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</si>
  <si>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</si>
  <si>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</si>
  <si>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</si>
  <si>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</si>
  <si>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</si>
  <si>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</si>
  <si>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</si>
  <si>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</si>
  <si>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</si>
  <si>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</si>
  <si>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</si>
  <si>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</si>
  <si>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</si>
  <si>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</si>
  <si>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</si>
  <si>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</si>
  <si>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</si>
  <si>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</si>
  <si>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</si>
  <si>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</si>
  <si>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</si>
  <si>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</si>
  <si>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</si>
  <si>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ok</t>
  </si>
  <si>
    <t>Feeder Cattle Futures</t>
  </si>
  <si>
    <t>DAILY</t>
  </si>
  <si>
    <t>JAN</t>
  </si>
  <si>
    <t>MAR</t>
  </si>
  <si>
    <t>APR</t>
  </si>
  <si>
    <t>MAY</t>
  </si>
  <si>
    <t>AUG</t>
  </si>
  <si>
    <t>SEP</t>
  </si>
  <si>
    <t>OCT</t>
  </si>
  <si>
    <t>NOV</t>
  </si>
  <si>
    <t>Nearby</t>
  </si>
  <si>
    <t>download</t>
  </si>
  <si>
    <t>2003-07 Avg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</si>
  <si>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</si>
  <si>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</si>
  <si>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</si>
  <si>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</si>
  <si>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</si>
  <si>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</si>
  <si>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</si>
  <si>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</si>
  <si>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</si>
  <si>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</si>
  <si>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</si>
  <si>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</si>
  <si>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FEEDER CATTLE SEASONAL PRICE INDEX</t>
  </si>
  <si>
    <t>Steers and Heifers</t>
  </si>
  <si>
    <r>
      <rPr>
        <sz val="18"/>
        <color theme="1"/>
        <rFont val="Calibri"/>
        <family val="2"/>
        <scheme val="minor"/>
      </rPr>
      <t>Oklahoma Wheat Stocker Purchase Planner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indexed="8"/>
        <rFont val="Calibri"/>
        <family val="2"/>
      </rPr>
      <t>Oklahoma State University
Oklahoma Cooperative Extension Service
Oklahoma Agricultural Experiment Station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</rPr>
      <t>Stillwater, Oklahoma</t>
    </r>
    <r>
      <rPr>
        <sz val="11"/>
        <color theme="1"/>
        <rFont val="Calibri"/>
        <family val="2"/>
        <scheme val="minor"/>
      </rPr>
      <t xml:space="preserve">
Developed by
Eric A. DeVuyst, Francis Epplin, Derrel Peel, and Karen Taylor,
Dept. of Ag. Econ
Gerald Horn and David Lalman, Dept. of Animal Science
</t>
    </r>
  </si>
  <si>
    <t>Oklahoma City</t>
  </si>
  <si>
    <t>Net Return after
death loss</t>
  </si>
  <si>
    <t>Feed cost of gain</t>
  </si>
  <si>
    <t>Feed Cost of Gain Analysis</t>
  </si>
  <si>
    <t>date</t>
  </si>
  <si>
    <t>weight</t>
  </si>
  <si>
    <t>A manual is available for this program at:</t>
  </si>
  <si>
    <t>http://osufacts.okstate.edu</t>
  </si>
  <si>
    <t>This program was developed in MS Excel 2007. Previous version of MS Excel will not execute all features of this program and should not be used with this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</si>
</sst>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m\ d\,\ yyyy;@"/>
    <numFmt numFmtId="165" formatCode="&quot;$&quot;#,##0.00"/>
    <numFmt numFmtId="166" formatCode="0.0%"/>
    <numFmt numFmtId="167" formatCode="[$-409]d\-mmm;@"/>
    <numFmt numFmtId="168" formatCode="0.0"/>
    <numFmt numFmtId="169" formatCode="&quot;$&quot;#,##0"/>
    <numFmt numFmtId="170" formatCode="mm/dd/yy_)"/>
    <numFmt numFmtId="171" formatCode="0.00_)"/>
    <numFmt numFmtId="172" formatCode="mm/dd/yy"/>
  </numFmts>
  <fonts count="39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4"/>
      <color theme="5" tint="-0.2499465926084170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Arial MT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 MT"/>
    </font>
    <font>
      <b/>
      <sz val="12"/>
      <name val="Arial"/>
      <family val="2"/>
    </font>
    <font>
      <sz val="12"/>
      <color indexed="16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2"/>
      <color indexed="12"/>
      <name val="Arial MT"/>
    </font>
    <font>
      <sz val="10"/>
      <color indexed="12"/>
      <name val="Arial MT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0" fontId="28" fillId="0" borderId="0"/>
    <xf numFmtId="0" fontId="28" fillId="0" borderId="0"/>
    <xf numFmtId="165" fontId="31" fillId="0" borderId="0"/>
    <xf numFmtId="0" fontId="3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264">
    <xf numFmtId="0" fontId="0" fillId="0" borderId="0" xfId="0"/>
    <xf numFmtId="0" fontId="5" fillId="2" borderId="7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 applyFill="1" applyAlignment="1"/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shrinkToFit="1"/>
    </xf>
    <xf numFmtId="2" fontId="7" fillId="0" borderId="13" xfId="0" applyNumberFormat="1" applyFont="1" applyFill="1" applyBorder="1" applyAlignment="1">
      <alignment horizontal="center" shrinkToFit="1"/>
    </xf>
    <xf numFmtId="2" fontId="7" fillId="8" borderId="7" xfId="0" applyNumberFormat="1" applyFont="1" applyFill="1" applyBorder="1" applyAlignment="1">
      <alignment horizontal="right" shrinkToFit="1"/>
    </xf>
    <xf numFmtId="0" fontId="20" fillId="0" borderId="0" xfId="0" applyFont="1"/>
    <xf numFmtId="0" fontId="7" fillId="13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169" fontId="8" fillId="3" borderId="16" xfId="0" applyNumberFormat="1" applyFont="1" applyFill="1" applyBorder="1" applyAlignment="1">
      <alignment horizontal="right" indent="1"/>
    </xf>
    <xf numFmtId="0" fontId="24" fillId="0" borderId="0" xfId="0" applyFont="1" applyProtection="1">
      <protection hidden="1"/>
    </xf>
    <xf numFmtId="1" fontId="24" fillId="0" borderId="0" xfId="0" applyNumberFormat="1" applyFont="1" applyProtection="1">
      <protection hidden="1"/>
    </xf>
    <xf numFmtId="165" fontId="26" fillId="8" borderId="0" xfId="0" applyNumberFormat="1" applyFont="1" applyFill="1" applyBorder="1" applyAlignment="1">
      <alignment horizontal="right" vertical="center" indent="2"/>
    </xf>
    <xf numFmtId="165" fontId="24" fillId="8" borderId="0" xfId="0" applyNumberFormat="1" applyFont="1" applyFill="1" applyAlignment="1" applyProtection="1">
      <alignment horizontal="right" indent="2"/>
    </xf>
    <xf numFmtId="0" fontId="24" fillId="8" borderId="0" xfId="0" applyFont="1" applyFill="1" applyBorder="1" applyAlignment="1">
      <alignment vertical="center"/>
    </xf>
    <xf numFmtId="165" fontId="27" fillId="8" borderId="0" xfId="0" applyNumberFormat="1" applyFont="1" applyFill="1" applyBorder="1" applyAlignment="1">
      <alignment vertical="center" shrinkToFit="1"/>
    </xf>
    <xf numFmtId="0" fontId="20" fillId="0" borderId="0" xfId="0" applyFont="1" applyProtection="1"/>
    <xf numFmtId="0" fontId="30" fillId="0" borderId="0" xfId="2" applyFont="1" applyProtection="1"/>
    <xf numFmtId="171" fontId="29" fillId="0" borderId="0" xfId="2" applyNumberFormat="1" applyFont="1" applyProtection="1">
      <protection locked="0"/>
    </xf>
    <xf numFmtId="0" fontId="29" fillId="0" borderId="0" xfId="2" applyFont="1" applyProtection="1">
      <protection locked="0"/>
    </xf>
    <xf numFmtId="2" fontId="29" fillId="0" borderId="0" xfId="2" applyNumberFormat="1" applyFont="1" applyProtection="1">
      <protection locked="0"/>
    </xf>
    <xf numFmtId="0" fontId="28" fillId="0" borderId="0" xfId="2"/>
    <xf numFmtId="170" fontId="29" fillId="0" borderId="0" xfId="2" applyNumberFormat="1" applyFont="1" applyProtection="1">
      <protection locked="0"/>
    </xf>
    <xf numFmtId="170" fontId="30" fillId="0" borderId="0" xfId="2" applyNumberFormat="1" applyFont="1" applyProtection="1"/>
    <xf numFmtId="170" fontId="29" fillId="0" borderId="0" xfId="2" applyNumberFormat="1" applyFont="1" applyAlignment="1" applyProtection="1">
      <alignment horizontal="fill"/>
      <protection locked="0"/>
    </xf>
    <xf numFmtId="0" fontId="29" fillId="0" borderId="0" xfId="2" applyFont="1" applyAlignment="1" applyProtection="1">
      <alignment horizontal="right"/>
      <protection locked="0"/>
    </xf>
    <xf numFmtId="171" fontId="29" fillId="0" borderId="0" xfId="2" applyNumberFormat="1" applyFont="1" applyAlignment="1" applyProtection="1">
      <alignment horizontal="right"/>
      <protection locked="0"/>
    </xf>
    <xf numFmtId="2" fontId="29" fillId="0" borderId="0" xfId="2" applyNumberFormat="1" applyFont="1" applyAlignment="1" applyProtection="1">
      <alignment horizontal="right"/>
      <protection locked="0"/>
    </xf>
    <xf numFmtId="171" fontId="29" fillId="0" borderId="0" xfId="1" applyNumberFormat="1" applyFont="1" applyProtection="1">
      <protection locked="0"/>
    </xf>
    <xf numFmtId="170" fontId="29" fillId="0" borderId="0" xfId="3" applyNumberFormat="1" applyFont="1" applyProtection="1">
      <protection locked="0"/>
    </xf>
    <xf numFmtId="2" fontId="30" fillId="0" borderId="0" xfId="3" applyNumberFormat="1" applyFont="1" applyProtection="1"/>
    <xf numFmtId="2" fontId="29" fillId="0" borderId="0" xfId="3" applyNumberFormat="1" applyFont="1" applyProtection="1"/>
    <xf numFmtId="171" fontId="29" fillId="0" borderId="0" xfId="3" applyNumberFormat="1" applyFont="1" applyProtection="1"/>
    <xf numFmtId="172" fontId="29" fillId="0" borderId="0" xfId="4" applyNumberFormat="1" applyFont="1" applyProtection="1">
      <protection locked="0"/>
    </xf>
    <xf numFmtId="171" fontId="30" fillId="0" borderId="0" xfId="4" applyNumberFormat="1" applyFont="1" applyProtection="1"/>
    <xf numFmtId="171" fontId="30" fillId="0" borderId="0" xfId="4" applyNumberFormat="1" applyFont="1" applyProtection="1">
      <protection locked="0"/>
    </xf>
    <xf numFmtId="171" fontId="32" fillId="0" borderId="0" xfId="4" applyNumberFormat="1" applyFont="1" applyProtection="1"/>
    <xf numFmtId="2" fontId="33" fillId="0" borderId="0" xfId="4" applyNumberFormat="1" applyFont="1" applyProtection="1"/>
    <xf numFmtId="171" fontId="32" fillId="0" borderId="0" xfId="4" applyNumberFormat="1" applyFont="1" applyProtection="1">
      <protection locked="0"/>
    </xf>
    <xf numFmtId="172" fontId="30" fillId="0" borderId="0" xfId="4" applyNumberFormat="1" applyFont="1" applyProtection="1"/>
    <xf numFmtId="171" fontId="29" fillId="0" borderId="0" xfId="4" applyNumberFormat="1" applyFont="1" applyAlignment="1" applyProtection="1">
      <alignment horizontal="right"/>
      <protection locked="0"/>
    </xf>
    <xf numFmtId="172" fontId="29" fillId="0" borderId="0" xfId="4" applyNumberFormat="1" applyFont="1" applyAlignment="1" applyProtection="1">
      <alignment horizontal="fill"/>
      <protection locked="0"/>
    </xf>
    <xf numFmtId="172" fontId="30" fillId="0" borderId="0" xfId="1" applyNumberFormat="1" applyFont="1" applyProtection="1"/>
    <xf numFmtId="171" fontId="30" fillId="0" borderId="0" xfId="1" applyNumberFormat="1" applyFont="1" applyProtection="1"/>
    <xf numFmtId="2" fontId="33" fillId="0" borderId="0" xfId="1" applyNumberFormat="1" applyFont="1" applyProtection="1"/>
    <xf numFmtId="0" fontId="34" fillId="0" borderId="0" xfId="5" applyAlignment="1" applyProtection="1"/>
    <xf numFmtId="0" fontId="0" fillId="0" borderId="0" xfId="0" applyAlignment="1">
      <alignment horizontal="right"/>
    </xf>
    <xf numFmtId="1" fontId="18" fillId="6" borderId="19" xfId="0" applyNumberFormat="1" applyFont="1" applyFill="1" applyBorder="1" applyAlignment="1">
      <alignment horizontal="right" shrinkToFit="1"/>
    </xf>
    <xf numFmtId="165" fontId="18" fillId="9" borderId="19" xfId="0" applyNumberFormat="1" applyFont="1" applyFill="1" applyBorder="1" applyAlignment="1">
      <alignment horizontal="right" indent="1" shrinkToFit="1"/>
    </xf>
    <xf numFmtId="0" fontId="18" fillId="6" borderId="19" xfId="0" applyFont="1" applyFill="1" applyBorder="1" applyAlignment="1">
      <alignment horizontal="right" shrinkToFit="1"/>
    </xf>
    <xf numFmtId="165" fontId="18" fillId="9" borderId="19" xfId="0" applyNumberFormat="1" applyFont="1" applyFill="1" applyBorder="1" applyAlignment="1">
      <alignment horizontal="right" vertical="center" indent="1" shrinkToFit="1"/>
    </xf>
    <xf numFmtId="168" fontId="18" fillId="10" borderId="19" xfId="0" applyNumberFormat="1" applyFont="1" applyFill="1" applyBorder="1" applyAlignment="1">
      <alignment horizontal="right" vertical="center" indent="1" shrinkToFit="1"/>
    </xf>
    <xf numFmtId="4" fontId="18" fillId="3" borderId="19" xfId="0" applyNumberFormat="1" applyFont="1" applyFill="1" applyBorder="1" applyAlignment="1">
      <alignment horizontal="right" vertical="center" indent="1" shrinkToFit="1"/>
    </xf>
    <xf numFmtId="165" fontId="18" fillId="3" borderId="19" xfId="0" applyNumberFormat="1" applyFont="1" applyFill="1" applyBorder="1" applyAlignment="1">
      <alignment horizontal="right" vertical="center" indent="1" shrinkToFit="1"/>
    </xf>
    <xf numFmtId="0" fontId="18" fillId="6" borderId="19" xfId="0" applyFont="1" applyFill="1" applyBorder="1" applyAlignment="1" applyProtection="1">
      <alignment horizontal="right" shrinkToFit="1"/>
    </xf>
    <xf numFmtId="165" fontId="18" fillId="9" borderId="19" xfId="0" applyNumberFormat="1" applyFont="1" applyFill="1" applyBorder="1" applyAlignment="1" applyProtection="1">
      <alignment horizontal="right" indent="1" shrinkToFit="1"/>
    </xf>
    <xf numFmtId="165" fontId="18" fillId="9" borderId="19" xfId="0" applyNumberFormat="1" applyFont="1" applyFill="1" applyBorder="1" applyAlignment="1" applyProtection="1">
      <alignment horizontal="right" vertical="center" indent="1" shrinkToFit="1"/>
    </xf>
    <xf numFmtId="168" fontId="18" fillId="10" borderId="19" xfId="0" applyNumberFormat="1" applyFont="1" applyFill="1" applyBorder="1" applyAlignment="1" applyProtection="1">
      <alignment horizontal="right" vertical="center" indent="1" shrinkToFit="1"/>
    </xf>
    <xf numFmtId="4" fontId="18" fillId="3" borderId="19" xfId="0" applyNumberFormat="1" applyFont="1" applyFill="1" applyBorder="1" applyAlignment="1" applyProtection="1">
      <alignment horizontal="right" vertical="center" indent="1" shrinkToFit="1"/>
    </xf>
    <xf numFmtId="165" fontId="18" fillId="3" borderId="19" xfId="0" applyNumberFormat="1" applyFont="1" applyFill="1" applyBorder="1" applyAlignment="1" applyProtection="1">
      <alignment horizontal="right" vertical="center" indent="1" shrinkToFit="1"/>
    </xf>
    <xf numFmtId="165" fontId="18" fillId="9" borderId="19" xfId="0" applyNumberFormat="1" applyFont="1" applyFill="1" applyBorder="1" applyAlignment="1" applyProtection="1">
      <alignment horizontal="right" shrinkToFit="1"/>
    </xf>
    <xf numFmtId="168" fontId="18" fillId="10" borderId="19" xfId="0" applyNumberFormat="1" applyFont="1" applyFill="1" applyBorder="1" applyAlignment="1" applyProtection="1">
      <alignment horizontal="right" shrinkToFit="1"/>
    </xf>
    <xf numFmtId="4" fontId="18" fillId="3" borderId="19" xfId="0" applyNumberFormat="1" applyFont="1" applyFill="1" applyBorder="1" applyAlignment="1" applyProtection="1">
      <alignment horizontal="right" shrinkToFit="1"/>
    </xf>
    <xf numFmtId="165" fontId="18" fillId="3" borderId="19" xfId="0" applyNumberFormat="1" applyFont="1" applyFill="1" applyBorder="1" applyAlignment="1" applyProtection="1">
      <alignment horizontal="right" shrinkToFit="1"/>
    </xf>
    <xf numFmtId="16" fontId="0" fillId="0" borderId="0" xfId="0" applyNumberFormat="1"/>
    <xf numFmtId="167" fontId="0" fillId="0" borderId="0" xfId="0" applyNumberFormat="1"/>
    <xf numFmtId="0" fontId="0" fillId="0" borderId="5" xfId="0" applyBorder="1"/>
    <xf numFmtId="0" fontId="0" fillId="0" borderId="12" xfId="0" applyBorder="1"/>
    <xf numFmtId="0" fontId="0" fillId="0" borderId="6" xfId="0" applyBorder="1"/>
    <xf numFmtId="2" fontId="7" fillId="0" borderId="13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Protection="1">
      <protection locked="0"/>
    </xf>
    <xf numFmtId="2" fontId="7" fillId="8" borderId="7" xfId="0" applyNumberFormat="1" applyFont="1" applyFill="1" applyBorder="1" applyAlignment="1" applyProtection="1">
      <alignment horizontal="right" shrinkToFit="1"/>
      <protection locked="0"/>
    </xf>
    <xf numFmtId="170" fontId="30" fillId="0" borderId="0" xfId="6" applyNumberFormat="1" applyFont="1" applyProtection="1">
      <protection locked="0"/>
    </xf>
    <xf numFmtId="171" fontId="36" fillId="0" borderId="0" xfId="3" applyNumberFormat="1" applyFont="1"/>
    <xf numFmtId="171" fontId="37" fillId="0" borderId="0" xfId="3" applyNumberFormat="1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1" fontId="19" fillId="6" borderId="21" xfId="0" applyNumberFormat="1" applyFont="1" applyFill="1" applyBorder="1" applyAlignment="1">
      <alignment horizontal="center"/>
    </xf>
    <xf numFmtId="1" fontId="19" fillId="6" borderId="21" xfId="0" applyNumberFormat="1" applyFont="1" applyFill="1" applyBorder="1" applyAlignment="1" applyProtection="1">
      <alignment horizontal="center" shrinkToFit="1"/>
    </xf>
    <xf numFmtId="2" fontId="19" fillId="3" borderId="21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21" xfId="0" applyNumberFormat="1" applyFont="1" applyFill="1" applyBorder="1" applyAlignment="1" applyProtection="1">
      <alignment horizontal="right" vertical="center" shrinkToFit="1"/>
    </xf>
    <xf numFmtId="1" fontId="19" fillId="10" borderId="21" xfId="0" applyNumberFormat="1" applyFont="1" applyFill="1" applyBorder="1" applyAlignment="1">
      <alignment horizontal="center" vertical="center" shrinkToFit="1"/>
    </xf>
    <xf numFmtId="2" fontId="19" fillId="10" borderId="21" xfId="0" applyNumberFormat="1" applyFont="1" applyFill="1" applyBorder="1" applyAlignment="1">
      <alignment horizontal="right" vertical="center" shrinkToFit="1"/>
    </xf>
    <xf numFmtId="2" fontId="19" fillId="9" borderId="21" xfId="0" applyNumberFormat="1" applyFont="1" applyFill="1" applyBorder="1" applyAlignment="1">
      <alignment horizontal="right" shrinkToFit="1"/>
    </xf>
    <xf numFmtId="1" fontId="19" fillId="6" borderId="21" xfId="0" applyNumberFormat="1" applyFont="1" applyFill="1" applyBorder="1" applyAlignment="1" applyProtection="1">
      <alignment horizontal="center"/>
    </xf>
    <xf numFmtId="167" fontId="19" fillId="10" borderId="21" xfId="0" applyNumberFormat="1" applyFont="1" applyFill="1" applyBorder="1" applyAlignment="1">
      <alignment horizontal="right" vertical="center" shrinkToFit="1"/>
    </xf>
    <xf numFmtId="1" fontId="19" fillId="10" borderId="21" xfId="0" applyNumberFormat="1" applyFont="1" applyFill="1" applyBorder="1" applyAlignment="1" applyProtection="1">
      <alignment horizontal="center" vertical="center" shrinkToFit="1"/>
      <protection locked="0"/>
    </xf>
    <xf numFmtId="2" fontId="19" fillId="10" borderId="21" xfId="0" applyNumberFormat="1" applyFont="1" applyFill="1" applyBorder="1" applyAlignment="1" applyProtection="1">
      <alignment horizontal="right" vertical="center" shrinkToFit="1"/>
    </xf>
    <xf numFmtId="2" fontId="19" fillId="9" borderId="21" xfId="0" applyNumberFormat="1" applyFont="1" applyFill="1" applyBorder="1" applyAlignment="1" applyProtection="1">
      <alignment horizontal="right" shrinkToFit="1"/>
    </xf>
    <xf numFmtId="0" fontId="15" fillId="0" borderId="0" xfId="0" applyFont="1" applyProtection="1">
      <protection locked="0"/>
    </xf>
    <xf numFmtId="2" fontId="18" fillId="3" borderId="21" xfId="0" applyNumberFormat="1" applyFont="1" applyFill="1" applyBorder="1" applyAlignment="1" applyProtection="1">
      <alignment horizontal="right" shrinkToFit="1"/>
      <protection locked="0"/>
    </xf>
    <xf numFmtId="1" fontId="18" fillId="3" borderId="21" xfId="0" applyNumberFormat="1" applyFont="1" applyFill="1" applyBorder="1" applyAlignment="1" applyProtection="1">
      <alignment horizontal="right" shrinkToFit="1"/>
      <protection locked="0"/>
    </xf>
    <xf numFmtId="168" fontId="18" fillId="3" borderId="21" xfId="0" applyNumberFormat="1" applyFont="1" applyFill="1" applyBorder="1" applyAlignment="1" applyProtection="1">
      <alignment horizontal="right" shrinkToFit="1"/>
      <protection locked="0"/>
    </xf>
    <xf numFmtId="166" fontId="18" fillId="3" borderId="21" xfId="0" applyNumberFormat="1" applyFont="1" applyFill="1" applyBorder="1" applyAlignment="1" applyProtection="1">
      <alignment horizontal="right" shrinkToFit="1"/>
      <protection locked="0"/>
    </xf>
    <xf numFmtId="1" fontId="14" fillId="3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NumberFormat="1" applyFont="1" applyFill="1" applyBorder="1" applyAlignment="1" applyProtection="1">
      <alignment horizontal="right"/>
      <protection locked="0"/>
    </xf>
    <xf numFmtId="0" fontId="18" fillId="6" borderId="21" xfId="0" applyFont="1" applyFill="1" applyBorder="1" applyAlignment="1" applyProtection="1">
      <alignment horizontal="right" shrinkToFit="1"/>
      <protection locked="0"/>
    </xf>
    <xf numFmtId="1" fontId="18" fillId="6" borderId="21" xfId="0" applyNumberFormat="1" applyFont="1" applyFill="1" applyBorder="1" applyAlignment="1">
      <alignment horizontal="right" shrinkToFit="1"/>
    </xf>
    <xf numFmtId="165" fontId="18" fillId="9" borderId="21" xfId="0" applyNumberFormat="1" applyFont="1" applyFill="1" applyBorder="1" applyAlignment="1">
      <alignment horizontal="right" indent="1" shrinkToFit="1"/>
    </xf>
    <xf numFmtId="0" fontId="18" fillId="6" borderId="21" xfId="0" applyFont="1" applyFill="1" applyBorder="1" applyAlignment="1">
      <alignment horizontal="right" shrinkToFit="1"/>
    </xf>
    <xf numFmtId="165" fontId="18" fillId="9" borderId="21" xfId="0" applyNumberFormat="1" applyFont="1" applyFill="1" applyBorder="1" applyAlignment="1">
      <alignment horizontal="right" vertical="center" indent="1" shrinkToFit="1"/>
    </xf>
    <xf numFmtId="168" fontId="18" fillId="10" borderId="21" xfId="0" applyNumberFormat="1" applyFont="1" applyFill="1" applyBorder="1" applyAlignment="1">
      <alignment horizontal="right" vertical="center" indent="1" shrinkToFit="1"/>
    </xf>
    <xf numFmtId="4" fontId="18" fillId="3" borderId="21" xfId="0" applyNumberFormat="1" applyFont="1" applyFill="1" applyBorder="1" applyAlignment="1">
      <alignment horizontal="right" vertical="center" indent="1" shrinkToFit="1"/>
    </xf>
    <xf numFmtId="165" fontId="18" fillId="3" borderId="21" xfId="0" applyNumberFormat="1" applyFont="1" applyFill="1" applyBorder="1" applyAlignment="1">
      <alignment horizontal="right" vertical="center" indent="1" shrinkToFit="1"/>
    </xf>
    <xf numFmtId="0" fontId="18" fillId="6" borderId="21" xfId="0" applyFont="1" applyFill="1" applyBorder="1" applyAlignment="1" applyProtection="1">
      <alignment horizontal="right" shrinkToFit="1"/>
    </xf>
    <xf numFmtId="165" fontId="18" fillId="9" borderId="21" xfId="0" applyNumberFormat="1" applyFont="1" applyFill="1" applyBorder="1" applyAlignment="1" applyProtection="1">
      <alignment horizontal="right" indent="1" shrinkToFit="1"/>
    </xf>
    <xf numFmtId="165" fontId="18" fillId="9" borderId="21" xfId="0" applyNumberFormat="1" applyFont="1" applyFill="1" applyBorder="1" applyAlignment="1" applyProtection="1">
      <alignment horizontal="right" vertical="center" indent="1" shrinkToFit="1"/>
    </xf>
    <xf numFmtId="168" fontId="18" fillId="10" borderId="21" xfId="0" applyNumberFormat="1" applyFont="1" applyFill="1" applyBorder="1" applyAlignment="1" applyProtection="1">
      <alignment horizontal="right" vertical="center" indent="1" shrinkToFit="1"/>
    </xf>
    <xf numFmtId="4" fontId="18" fillId="3" borderId="21" xfId="0" applyNumberFormat="1" applyFont="1" applyFill="1" applyBorder="1" applyAlignment="1" applyProtection="1">
      <alignment horizontal="right" vertical="center" indent="1" shrinkToFit="1"/>
    </xf>
    <xf numFmtId="165" fontId="18" fillId="3" borderId="21" xfId="0" applyNumberFormat="1" applyFont="1" applyFill="1" applyBorder="1" applyAlignment="1" applyProtection="1">
      <alignment horizontal="right" vertical="center" indent="1" shrinkToFit="1"/>
    </xf>
    <xf numFmtId="165" fontId="18" fillId="9" borderId="21" xfId="0" applyNumberFormat="1" applyFont="1" applyFill="1" applyBorder="1" applyAlignment="1" applyProtection="1">
      <alignment horizontal="right" shrinkToFit="1"/>
    </xf>
    <xf numFmtId="168" fontId="18" fillId="10" borderId="21" xfId="0" applyNumberFormat="1" applyFont="1" applyFill="1" applyBorder="1" applyAlignment="1" applyProtection="1">
      <alignment horizontal="right" shrinkToFit="1"/>
    </xf>
    <xf numFmtId="4" fontId="18" fillId="3" borderId="21" xfId="0" applyNumberFormat="1" applyFont="1" applyFill="1" applyBorder="1" applyAlignment="1" applyProtection="1">
      <alignment horizontal="right" shrinkToFit="1"/>
    </xf>
    <xf numFmtId="165" fontId="18" fillId="3" borderId="21" xfId="0" applyNumberFormat="1" applyFont="1" applyFill="1" applyBorder="1" applyAlignment="1" applyProtection="1">
      <alignment horizontal="right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4" fillId="0" borderId="4" xfId="5" applyBorder="1" applyAlignment="1" applyProtection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7" xfId="0" applyFont="1" applyFill="1" applyBorder="1" applyAlignment="1"/>
    <xf numFmtId="164" fontId="6" fillId="7" borderId="8" xfId="0" applyNumberFormat="1" applyFont="1" applyFill="1" applyBorder="1" applyAlignment="1">
      <alignment horizontal="center" shrinkToFit="1"/>
    </xf>
    <xf numFmtId="164" fontId="6" fillId="7" borderId="9" xfId="0" applyNumberFormat="1" applyFont="1" applyFill="1" applyBorder="1" applyAlignment="1">
      <alignment horizontal="center" shrinkToFit="1"/>
    </xf>
    <xf numFmtId="0" fontId="7" fillId="7" borderId="1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1" xfId="0" applyFill="1" applyBorder="1" applyAlignment="1"/>
    <xf numFmtId="0" fontId="0" fillId="1" borderId="2" xfId="0" applyFill="1" applyBorder="1" applyAlignment="1"/>
    <xf numFmtId="0" fontId="0" fillId="1" borderId="3" xfId="0" applyFill="1" applyBorder="1" applyAlignment="1"/>
    <xf numFmtId="0" fontId="0" fillId="1" borderId="4" xfId="0" applyFill="1" applyBorder="1" applyAlignment="1"/>
    <xf numFmtId="0" fontId="0" fillId="1" borderId="5" xfId="0" applyFill="1" applyBorder="1" applyAlignment="1"/>
    <xf numFmtId="0" fontId="0" fillId="1" borderId="6" xfId="0" applyFill="1" applyBorder="1" applyAlignment="1"/>
    <xf numFmtId="0" fontId="16" fillId="2" borderId="8" xfId="0" applyFont="1" applyFill="1" applyBorder="1" applyAlignment="1">
      <alignment horizontal="left" shrinkToFit="1"/>
    </xf>
    <xf numFmtId="0" fontId="16" fillId="2" borderId="9" xfId="0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167" fontId="14" fillId="3" borderId="7" xfId="0" applyNumberFormat="1" applyFont="1" applyFill="1" applyBorder="1" applyAlignment="1" applyProtection="1">
      <alignment horizontal="center"/>
      <protection locked="0"/>
    </xf>
    <xf numFmtId="167" fontId="15" fillId="0" borderId="7" xfId="0" applyNumberFormat="1" applyFont="1" applyBorder="1" applyAlignment="1" applyProtection="1">
      <alignment horizontal="center"/>
      <protection locked="0"/>
    </xf>
    <xf numFmtId="167" fontId="15" fillId="0" borderId="7" xfId="0" applyNumberFormat="1" applyFont="1" applyBorder="1" applyAlignment="1" applyProtection="1">
      <protection locked="0"/>
    </xf>
    <xf numFmtId="0" fontId="16" fillId="2" borderId="10" xfId="0" applyFont="1" applyFill="1" applyBorder="1" applyAlignment="1">
      <alignment horizontal="left" shrinkToFit="1"/>
    </xf>
    <xf numFmtId="10" fontId="14" fillId="3" borderId="13" xfId="0" applyNumberFormat="1" applyFont="1" applyFill="1" applyBorder="1" applyAlignment="1" applyProtection="1">
      <alignment horizontal="center"/>
      <protection locked="0"/>
    </xf>
    <xf numFmtId="10" fontId="15" fillId="0" borderId="13" xfId="0" applyNumberFormat="1" applyFont="1" applyBorder="1" applyAlignment="1" applyProtection="1">
      <alignment horizontal="center"/>
      <protection locked="0"/>
    </xf>
    <xf numFmtId="0" fontId="0" fillId="13" borderId="1" xfId="0" applyFill="1" applyBorder="1" applyAlignment="1">
      <alignment horizontal="center" wrapText="1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14" fillId="3" borderId="8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164" fontId="14" fillId="3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shrinkToFit="1"/>
    </xf>
    <xf numFmtId="0" fontId="5" fillId="2" borderId="9" xfId="0" applyFont="1" applyFill="1" applyBorder="1" applyAlignment="1">
      <alignment shrinkToFit="1"/>
    </xf>
    <xf numFmtId="0" fontId="5" fillId="2" borderId="10" xfId="0" applyFont="1" applyFill="1" applyBorder="1" applyAlignment="1">
      <alignment shrinkToFit="1"/>
    </xf>
    <xf numFmtId="164" fontId="14" fillId="3" borderId="8" xfId="0" applyNumberFormat="1" applyFont="1" applyFill="1" applyBorder="1" applyAlignment="1" applyProtection="1">
      <alignment horizontal="center" shrinkToFit="1"/>
      <protection locked="0"/>
    </xf>
    <xf numFmtId="0" fontId="15" fillId="0" borderId="9" xfId="0" applyFont="1" applyBorder="1" applyAlignment="1" applyProtection="1">
      <alignment horizontal="center" shrinkToFit="1"/>
      <protection locked="0"/>
    </xf>
    <xf numFmtId="0" fontId="15" fillId="0" borderId="10" xfId="0" applyFont="1" applyBorder="1" applyAlignment="1" applyProtection="1">
      <alignment horizontal="center" shrinkToFit="1"/>
      <protection locked="0"/>
    </xf>
    <xf numFmtId="14" fontId="0" fillId="0" borderId="2" xfId="0" applyNumberFormat="1" applyBorder="1" applyAlignment="1">
      <alignment horizontal="center"/>
    </xf>
    <xf numFmtId="0" fontId="8" fillId="13" borderId="15" xfId="0" applyFont="1" applyFill="1" applyBorder="1" applyAlignment="1">
      <alignment horizontal="center" vertical="center"/>
    </xf>
    <xf numFmtId="0" fontId="0" fillId="0" borderId="5" xfId="0" applyBorder="1" applyAlignment="1"/>
    <xf numFmtId="0" fontId="7" fillId="13" borderId="7" xfId="0" applyFont="1" applyFill="1" applyBorder="1" applyAlignment="1">
      <alignment horizontal="center" vertical="center" textRotation="90"/>
    </xf>
    <xf numFmtId="0" fontId="7" fillId="13" borderId="4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2" borderId="8" xfId="0" applyFont="1" applyFill="1" applyBorder="1" applyAlignment="1"/>
    <xf numFmtId="0" fontId="0" fillId="0" borderId="10" xfId="0" applyBorder="1" applyAlignment="1"/>
    <xf numFmtId="0" fontId="16" fillId="13" borderId="7" xfId="0" applyFont="1" applyFill="1" applyBorder="1" applyAlignment="1">
      <alignment horizontal="center" wrapText="1"/>
    </xf>
    <xf numFmtId="0" fontId="17" fillId="13" borderId="7" xfId="0" applyFont="1" applyFill="1" applyBorder="1" applyAlignment="1">
      <alignment horizont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0" fontId="5" fillId="2" borderId="7" xfId="0" applyFont="1" applyFill="1" applyBorder="1" applyAlignment="1">
      <alignment shrinkToFit="1"/>
    </xf>
    <xf numFmtId="0" fontId="7" fillId="13" borderId="7" xfId="0" applyFont="1" applyFill="1" applyBorder="1" applyAlignment="1">
      <alignment horizontal="center" wrapText="1"/>
    </xf>
    <xf numFmtId="0" fontId="7" fillId="13" borderId="7" xfId="0" applyFont="1" applyFill="1" applyBorder="1" applyAlignment="1">
      <alignment horizontal="center"/>
    </xf>
    <xf numFmtId="0" fontId="0" fillId="13" borderId="7" xfId="0" applyFill="1" applyBorder="1" applyAlignment="1"/>
    <xf numFmtId="0" fontId="8" fillId="2" borderId="7" xfId="0" applyFont="1" applyFill="1" applyBorder="1" applyAlignment="1">
      <alignment shrinkToFit="1"/>
    </xf>
    <xf numFmtId="0" fontId="17" fillId="0" borderId="10" xfId="0" applyFont="1" applyBorder="1" applyAlignment="1">
      <alignment shrinkToFit="1"/>
    </xf>
    <xf numFmtId="0" fontId="5" fillId="2" borderId="8" xfId="0" applyFont="1" applyFill="1" applyBorder="1" applyAlignment="1">
      <alignment wrapText="1" shrinkToFit="1"/>
    </xf>
    <xf numFmtId="0" fontId="5" fillId="2" borderId="9" xfId="0" applyFont="1" applyFill="1" applyBorder="1" applyAlignment="1">
      <alignment wrapText="1" shrinkToFit="1"/>
    </xf>
    <xf numFmtId="0" fontId="5" fillId="2" borderId="10" xfId="0" applyFont="1" applyFill="1" applyBorder="1" applyAlignment="1">
      <alignment wrapText="1" shrinkToFit="1"/>
    </xf>
    <xf numFmtId="0" fontId="8" fillId="5" borderId="8" xfId="0" applyFont="1" applyFill="1" applyBorder="1" applyAlignment="1">
      <alignment horizontal="left" indent="1"/>
    </xf>
    <xf numFmtId="0" fontId="8" fillId="5" borderId="9" xfId="0" applyFont="1" applyFill="1" applyBorder="1" applyAlignment="1">
      <alignment horizontal="left" indent="1"/>
    </xf>
    <xf numFmtId="0" fontId="8" fillId="3" borderId="16" xfId="0" applyFont="1" applyFill="1" applyBorder="1" applyAlignment="1">
      <alignment horizontal="center"/>
    </xf>
    <xf numFmtId="165" fontId="25" fillId="3" borderId="8" xfId="0" applyNumberFormat="1" applyFont="1" applyFill="1" applyBorder="1" applyAlignment="1">
      <alignment horizontal="right" indent="2"/>
    </xf>
    <xf numFmtId="165" fontId="25" fillId="3" borderId="10" xfId="0" applyNumberFormat="1" applyFont="1" applyFill="1" applyBorder="1" applyAlignment="1">
      <alignment horizontal="right" indent="2"/>
    </xf>
    <xf numFmtId="0" fontId="8" fillId="5" borderId="10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65" fontId="21" fillId="9" borderId="22" xfId="0" applyNumberFormat="1" applyFont="1" applyFill="1" applyBorder="1" applyAlignment="1">
      <alignment horizontal="right" vertical="center" shrinkToFit="1"/>
    </xf>
    <xf numFmtId="0" fontId="8" fillId="5" borderId="7" xfId="0" applyFont="1" applyFill="1" applyBorder="1" applyAlignment="1">
      <alignment horizontal="left" indent="2"/>
    </xf>
    <xf numFmtId="0" fontId="11" fillId="2" borderId="7" xfId="0" applyFont="1" applyFill="1" applyBorder="1" applyAlignment="1">
      <alignment horizontal="left" indent="3"/>
    </xf>
    <xf numFmtId="0" fontId="11" fillId="2" borderId="7" xfId="0" applyFont="1" applyFill="1" applyBorder="1" applyAlignment="1">
      <alignment horizontal="left" indent="2"/>
    </xf>
    <xf numFmtId="0" fontId="5" fillId="5" borderId="7" xfId="0" applyFont="1" applyFill="1" applyBorder="1" applyAlignment="1">
      <alignment horizontal="center" vertical="center" wrapText="1" shrinkToFit="1"/>
    </xf>
    <xf numFmtId="0" fontId="5" fillId="5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5" fillId="5" borderId="7" xfId="0" applyFont="1" applyFill="1" applyBorder="1" applyAlignment="1">
      <alignment horizontal="left" indent="2"/>
    </xf>
    <xf numFmtId="0" fontId="5" fillId="13" borderId="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indent="1"/>
    </xf>
    <xf numFmtId="0" fontId="5" fillId="13" borderId="7" xfId="0" applyFont="1" applyFill="1" applyBorder="1" applyAlignment="1"/>
    <xf numFmtId="0" fontId="5" fillId="2" borderId="17" xfId="0" applyFont="1" applyFill="1" applyBorder="1" applyAlignment="1">
      <alignment horizontal="left" inden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21" fillId="9" borderId="22" xfId="0" applyNumberFormat="1" applyFont="1" applyFill="1" applyBorder="1" applyAlignment="1" applyProtection="1">
      <alignment horizontal="right" vertical="center" shrinkToFit="1"/>
    </xf>
    <xf numFmtId="165" fontId="21" fillId="9" borderId="20" xfId="0" applyNumberFormat="1" applyFont="1" applyFill="1" applyBorder="1" applyAlignment="1">
      <alignment horizontal="right" vertical="center" shrinkToFit="1"/>
    </xf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5" fillId="2" borderId="7" xfId="0" applyFont="1" applyFill="1" applyBorder="1" applyAlignment="1">
      <alignment horizontal="left" indent="1"/>
    </xf>
    <xf numFmtId="165" fontId="21" fillId="9" borderId="20" xfId="0" applyNumberFormat="1" applyFont="1" applyFill="1" applyBorder="1" applyAlignment="1" applyProtection="1">
      <alignment horizontal="right" vertical="center" shrinkToFit="1"/>
    </xf>
    <xf numFmtId="0" fontId="16" fillId="2" borderId="14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shrinkToFit="1"/>
    </xf>
    <xf numFmtId="0" fontId="17" fillId="11" borderId="14" xfId="0" applyFont="1" applyFill="1" applyBorder="1" applyAlignment="1">
      <alignment horizontal="center" shrinkToFit="1"/>
    </xf>
    <xf numFmtId="0" fontId="23" fillId="2" borderId="1" xfId="0" applyFont="1" applyFill="1" applyBorder="1" applyAlignment="1"/>
    <xf numFmtId="0" fontId="23" fillId="2" borderId="2" xfId="0" applyFont="1" applyFill="1" applyBorder="1" applyAlignment="1"/>
    <xf numFmtId="0" fontId="23" fillId="2" borderId="3" xfId="0" applyFont="1" applyFill="1" applyBorder="1" applyAlignment="1"/>
    <xf numFmtId="0" fontId="23" fillId="2" borderId="4" xfId="0" applyFont="1" applyFill="1" applyBorder="1" applyAlignment="1"/>
    <xf numFmtId="0" fontId="23" fillId="2" borderId="5" xfId="0" applyFont="1" applyFill="1" applyBorder="1" applyAlignment="1"/>
    <xf numFmtId="0" fontId="23" fillId="2" borderId="6" xfId="0" applyFont="1" applyFill="1" applyBorder="1" applyAlignment="1"/>
    <xf numFmtId="0" fontId="19" fillId="7" borderId="14" xfId="0" applyFont="1" applyFill="1" applyBorder="1" applyAlignment="1">
      <alignment horizontal="center"/>
    </xf>
    <xf numFmtId="0" fontId="23" fillId="2" borderId="14" xfId="0" applyFont="1" applyFill="1" applyBorder="1" applyAlignment="1"/>
    <xf numFmtId="0" fontId="22" fillId="13" borderId="14" xfId="0" applyFont="1" applyFill="1" applyBorder="1" applyAlignment="1">
      <alignment horizontal="center" vertical="center"/>
    </xf>
    <xf numFmtId="0" fontId="17" fillId="13" borderId="14" xfId="0" applyFont="1" applyFill="1" applyBorder="1" applyAlignment="1"/>
    <xf numFmtId="0" fontId="16" fillId="1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shrinkToFit="1"/>
    </xf>
    <xf numFmtId="2" fontId="19" fillId="7" borderId="14" xfId="0" applyNumberFormat="1" applyFont="1" applyFill="1" applyBorder="1" applyAlignment="1"/>
    <xf numFmtId="0" fontId="19" fillId="7" borderId="14" xfId="0" applyFont="1" applyFill="1" applyBorder="1" applyAlignment="1"/>
  </cellXfs>
  <cellStyles count="7">
    <cellStyle name="Hyperlink" xfId="5" builtinId="8"/>
    <cellStyle name="Normal" xfId="0" builtinId="0"/>
    <cellStyle name="Normal 2" xfId="1" xr:uid="{00000000-0005-0000-0000-000002000000}"/>
    <cellStyle name="Normal_auctions oklahoma" xfId="2" xr:uid="{00000000-0005-0000-0000-000003000000}"/>
    <cellStyle name="Normal_combined auction OK" xfId="3" xr:uid="{00000000-0005-0000-0000-000004000000}"/>
    <cellStyle name="Normal_feederfutures" xfId="4" xr:uid="{00000000-0005-0000-0000-000005000000}"/>
    <cellStyle name="Normal_okstrhfr" xfId="6" xr:uid="{00000000-0005-0000-0000-000006000000}"/>
  </cellStyles>
  <dxfs count="1">
    <dxf>
      <font>
        <color theme="9" tint="-0.24994659260841701"/>
      </font>
      <fill>
        <patternFill>
          <fgColor theme="2" tint="-9.9948118533890809E-2"/>
        </patternFill>
      </fill>
    </dxf>
  </dxfs>
  <tableStyles count="0" defaultTableStyle="TableStyleMedium9" defaultPivotStyle="PivotStyleLight16"/>
  <colors>
    <mruColors>
      <color rgb="FFFFFF66"/>
      <color rgb="FFFF9900"/>
      <color rgb="FFEB9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2</xdr:row>
      <xdr:rowOff>819150</xdr:rowOff>
    </xdr:from>
    <xdr:to>
      <xdr:col>10</xdr:col>
      <xdr:colOff>19049</xdr:colOff>
      <xdr:row>2</xdr:row>
      <xdr:rowOff>819151</xdr:rowOff>
    </xdr:to>
    <xdr:pic>
      <xdr:nvPicPr>
        <xdr:cNvPr id="2" name="Picture 1" descr="Extensionlogo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49" y="1200150"/>
          <a:ext cx="866775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2</xdr:row>
      <xdr:rowOff>809624</xdr:rowOff>
    </xdr:from>
    <xdr:to>
      <xdr:col>2</xdr:col>
      <xdr:colOff>295276</xdr:colOff>
      <xdr:row>2</xdr:row>
      <xdr:rowOff>809624</xdr:rowOff>
    </xdr:to>
    <xdr:pic>
      <xdr:nvPicPr>
        <xdr:cNvPr id="3" name="Picture 2" descr="Research+logo7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6" y="1190624"/>
          <a:ext cx="857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</xdr:row>
      <xdr:rowOff>123825</xdr:rowOff>
    </xdr:from>
    <xdr:to>
      <xdr:col>2</xdr:col>
      <xdr:colOff>304800</xdr:colOff>
      <xdr:row>2</xdr:row>
      <xdr:rowOff>1009650</xdr:rowOff>
    </xdr:to>
    <xdr:pic>
      <xdr:nvPicPr>
        <xdr:cNvPr id="4" name="Picture 3" descr="Research+logo7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819150"/>
          <a:ext cx="857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2</xdr:row>
      <xdr:rowOff>85725</xdr:rowOff>
    </xdr:from>
    <xdr:to>
      <xdr:col>9</xdr:col>
      <xdr:colOff>457200</xdr:colOff>
      <xdr:row>2</xdr:row>
      <xdr:rowOff>1009649</xdr:rowOff>
    </xdr:to>
    <xdr:pic>
      <xdr:nvPicPr>
        <xdr:cNvPr id="5" name="Picture 4" descr="Extensionlogo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781050"/>
          <a:ext cx="866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10</xdr:row>
          <xdr:rowOff>38100</xdr:rowOff>
        </xdr:from>
        <xdr:to>
          <xdr:col>8</xdr:col>
          <xdr:colOff>457200</xdr:colOff>
          <xdr:row>11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PRICE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</xdr:colOff>
          <xdr:row>1</xdr:row>
          <xdr:rowOff>30480</xdr:rowOff>
        </xdr:from>
        <xdr:to>
          <xdr:col>7</xdr:col>
          <xdr:colOff>137160</xdr:colOff>
          <xdr:row>1</xdr:row>
          <xdr:rowOff>281940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prices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457200</xdr:colOff>
          <xdr:row>29</xdr:row>
          <xdr:rowOff>0</xdr:rowOff>
        </xdr:from>
        <xdr:to>
          <xdr:col>10</xdr:col>
          <xdr:colOff>30480</xdr:colOff>
          <xdr:row>31</xdr:row>
          <xdr:rowOff>68580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Return to "Steers"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7620</xdr:rowOff>
        </xdr:from>
        <xdr:to>
          <xdr:col>10</xdr:col>
          <xdr:colOff>7620</xdr:colOff>
          <xdr:row>35</xdr:row>
          <xdr:rowOff>144780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 and return to "Steers"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30</xdr:row>
          <xdr:rowOff>15240</xdr:rowOff>
        </xdr:from>
        <xdr:to>
          <xdr:col>10</xdr:col>
          <xdr:colOff>0</xdr:colOff>
          <xdr:row>32</xdr:row>
          <xdr:rowOff>129540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Return to "Heifers"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10</xdr:col>
          <xdr:colOff>0</xdr:colOff>
          <xdr:row>37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 and Return to "Heifers"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13</xdr:row>
      <xdr:rowOff>104776</xdr:rowOff>
    </xdr:from>
    <xdr:to>
      <xdr:col>8</xdr:col>
      <xdr:colOff>123825</xdr:colOff>
      <xdr:row>21</xdr:row>
      <xdr:rowOff>34672</xdr:rowOff>
    </xdr:to>
    <xdr:pic>
      <xdr:nvPicPr>
        <xdr:cNvPr id="2" name="Picture 1" descr="Agriculture+logo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3019426"/>
          <a:ext cx="1514475" cy="1453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prad\Downloads\Wheat%20stock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ost_of_gain"/>
      <sheetName val="combined prices"/>
      <sheetName val="OKC prices"/>
      <sheetName val="futures"/>
      <sheetName val="basis"/>
      <sheetName val="lists"/>
    </sheetNames>
    <sheetDataSet>
      <sheetData sheetId="0"/>
      <sheetData sheetId="1"/>
      <sheetData sheetId="2">
        <row r="1">
          <cell r="A1">
            <v>39850</v>
          </cell>
        </row>
      </sheetData>
      <sheetData sheetId="3">
        <row r="1">
          <cell r="A1">
            <v>39846.519741782409</v>
          </cell>
        </row>
      </sheetData>
      <sheetData sheetId="4"/>
      <sheetData sheetId="5"/>
      <sheetData sheetId="6">
        <row r="2">
          <cell r="A2" t="str">
            <v>OKC</v>
          </cell>
        </row>
        <row r="3">
          <cell r="A3" t="str">
            <v>OK combined</v>
          </cell>
        </row>
        <row r="7">
          <cell r="A7" t="str">
            <v>Jan</v>
          </cell>
        </row>
        <row r="8">
          <cell r="A8" t="str">
            <v>Feb</v>
          </cell>
        </row>
        <row r="9">
          <cell r="A9" t="str">
            <v>Mar</v>
          </cell>
        </row>
        <row r="10">
          <cell r="A10" t="str">
            <v>Apr</v>
          </cell>
        </row>
        <row r="11">
          <cell r="A11" t="str">
            <v>May</v>
          </cell>
        </row>
        <row r="12">
          <cell r="A12" t="str">
            <v>June</v>
          </cell>
        </row>
        <row r="13">
          <cell r="A13" t="str">
            <v>July</v>
          </cell>
        </row>
        <row r="14">
          <cell r="A14" t="str">
            <v>Aug</v>
          </cell>
        </row>
        <row r="15">
          <cell r="A15" t="str">
            <v>Sept</v>
          </cell>
        </row>
        <row r="16">
          <cell r="A16" t="str">
            <v>Oct</v>
          </cell>
        </row>
        <row r="17">
          <cell r="A17" t="str">
            <v>Nov</v>
          </cell>
        </row>
        <row r="18">
          <cell r="A18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ufacts.okstate.edu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econ.okstate.edu/faculty/publications/32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S20"/>
  <sheetViews>
    <sheetView tabSelected="1" workbookViewId="0">
      <selection activeCell="F36" sqref="F36"/>
    </sheetView>
  </sheetViews>
  <sheetFormatPr defaultRowHeight="14.4"/>
  <cols>
    <col min="1" max="1" width="4.88671875" customWidth="1"/>
    <col min="10" max="10" width="7.88671875" customWidth="1"/>
  </cols>
  <sheetData>
    <row r="1" spans="2:19" ht="7.5" customHeight="1"/>
    <row r="2" spans="2:19" ht="47.25" customHeight="1">
      <c r="B2" s="159" t="s">
        <v>179</v>
      </c>
      <c r="C2" s="160"/>
      <c r="D2" s="160"/>
      <c r="E2" s="160"/>
      <c r="F2" s="160"/>
      <c r="G2" s="160"/>
      <c r="H2" s="160"/>
      <c r="I2" s="160"/>
      <c r="J2" s="161"/>
    </row>
    <row r="3" spans="2:19" ht="117" customHeight="1">
      <c r="B3" s="162"/>
      <c r="C3" s="163"/>
      <c r="D3" s="163"/>
      <c r="E3" s="163"/>
      <c r="F3" s="163"/>
      <c r="G3" s="163"/>
      <c r="H3" s="163"/>
      <c r="I3" s="163"/>
      <c r="J3" s="164"/>
    </row>
    <row r="4" spans="2:19">
      <c r="G4" t="s">
        <v>69</v>
      </c>
      <c r="I4" s="175">
        <v>39996</v>
      </c>
      <c r="J4" s="175"/>
    </row>
    <row r="6" spans="2:19" ht="23.4">
      <c r="B6" s="1" t="s">
        <v>0</v>
      </c>
      <c r="C6" s="165" t="s">
        <v>1</v>
      </c>
      <c r="D6" s="166"/>
      <c r="E6" s="167"/>
      <c r="G6" s="2"/>
      <c r="H6" s="2"/>
      <c r="I6" s="2"/>
      <c r="J6" s="2"/>
    </row>
    <row r="7" spans="2:19" ht="23.4">
      <c r="B7" s="1" t="s">
        <v>2</v>
      </c>
      <c r="C7" s="168">
        <v>39996</v>
      </c>
      <c r="D7" s="166"/>
      <c r="E7" s="167"/>
      <c r="G7" s="2"/>
      <c r="H7" s="2"/>
      <c r="I7" s="2"/>
      <c r="J7" s="2"/>
    </row>
    <row r="9" spans="2:19" ht="23.4">
      <c r="B9" s="169" t="s">
        <v>3</v>
      </c>
      <c r="C9" s="170"/>
      <c r="D9" s="170"/>
      <c r="E9" s="170"/>
      <c r="F9" s="170"/>
      <c r="G9" s="171"/>
      <c r="H9" s="172" t="s">
        <v>180</v>
      </c>
      <c r="I9" s="173"/>
      <c r="J9" s="174"/>
    </row>
    <row r="10" spans="2:19" ht="21">
      <c r="B10" s="134" t="s">
        <v>4</v>
      </c>
      <c r="C10" s="134"/>
      <c r="D10" s="134"/>
      <c r="E10" s="134"/>
      <c r="F10" s="134"/>
      <c r="G10" s="134"/>
      <c r="H10" s="135">
        <f>prices!A1</f>
        <v>40018</v>
      </c>
      <c r="I10" s="136"/>
      <c r="J10" s="137"/>
    </row>
    <row r="11" spans="2:19">
      <c r="B11" s="138" t="s">
        <v>5</v>
      </c>
      <c r="C11" s="139"/>
      <c r="D11" s="139"/>
      <c r="E11" s="139"/>
      <c r="F11" s="140"/>
      <c r="G11" s="144"/>
      <c r="H11" s="145"/>
      <c r="I11" s="146"/>
    </row>
    <row r="12" spans="2:19">
      <c r="B12" s="141"/>
      <c r="C12" s="142"/>
      <c r="D12" s="142"/>
      <c r="E12" s="142"/>
      <c r="F12" s="143"/>
      <c r="G12" s="147"/>
      <c r="H12" s="148"/>
      <c r="I12" s="149"/>
    </row>
    <row r="14" spans="2:19" ht="23.4">
      <c r="B14" s="150" t="s">
        <v>6</v>
      </c>
      <c r="C14" s="151"/>
      <c r="D14" s="151"/>
      <c r="E14" s="152"/>
      <c r="F14" s="153">
        <v>40118</v>
      </c>
      <c r="G14" s="154"/>
      <c r="H14" s="155"/>
    </row>
    <row r="15" spans="2:19" ht="23.4">
      <c r="B15" s="150" t="s">
        <v>38</v>
      </c>
      <c r="C15" s="151"/>
      <c r="D15" s="156"/>
      <c r="E15" s="9" t="s">
        <v>39</v>
      </c>
      <c r="F15" s="157">
        <v>0.06</v>
      </c>
      <c r="G15" s="158"/>
      <c r="H15" s="96"/>
    </row>
    <row r="16" spans="2:19" ht="18">
      <c r="M16" s="82" t="str">
        <f>IF('Cattle type'!E3&lt;'Cattle type'!D3, "ERROR--Heaviest weight must be larger thant Lightest weight!","")</f>
        <v/>
      </c>
      <c r="N16" s="82"/>
      <c r="O16" s="82"/>
      <c r="P16" s="82"/>
      <c r="Q16" s="82"/>
      <c r="R16" s="82"/>
      <c r="S16" s="83"/>
    </row>
    <row r="17" spans="2:12" ht="15" customHeight="1">
      <c r="B17" s="121" t="s">
        <v>186</v>
      </c>
      <c r="C17" s="122"/>
      <c r="D17" s="122"/>
      <c r="E17" s="122"/>
      <c r="F17" s="123"/>
      <c r="H17" s="121" t="s">
        <v>188</v>
      </c>
      <c r="I17" s="122"/>
      <c r="J17" s="122"/>
      <c r="K17" s="122"/>
      <c r="L17" s="123"/>
    </row>
    <row r="18" spans="2:12">
      <c r="B18" s="124" t="s">
        <v>187</v>
      </c>
      <c r="C18" s="125"/>
      <c r="D18" s="125"/>
      <c r="E18" s="125"/>
      <c r="F18" s="126"/>
      <c r="H18" s="127"/>
      <c r="I18" s="128"/>
      <c r="J18" s="128"/>
      <c r="K18" s="128"/>
      <c r="L18" s="129"/>
    </row>
    <row r="19" spans="2:12">
      <c r="B19" s="133"/>
      <c r="C19" s="133"/>
      <c r="D19" s="133"/>
      <c r="E19" s="133"/>
      <c r="F19" s="133"/>
      <c r="H19" s="127"/>
      <c r="I19" s="128"/>
      <c r="J19" s="128"/>
      <c r="K19" s="128"/>
      <c r="L19" s="129"/>
    </row>
    <row r="20" spans="2:12" ht="60.75" customHeight="1">
      <c r="H20" s="130"/>
      <c r="I20" s="131"/>
      <c r="J20" s="131"/>
      <c r="K20" s="131"/>
      <c r="L20" s="132"/>
    </row>
  </sheetData>
  <mergeCells count="18">
    <mergeCell ref="B2:J3"/>
    <mergeCell ref="C6:E6"/>
    <mergeCell ref="C7:E7"/>
    <mergeCell ref="B9:G9"/>
    <mergeCell ref="H9:J9"/>
    <mergeCell ref="I4:J4"/>
    <mergeCell ref="B17:F17"/>
    <mergeCell ref="B18:F18"/>
    <mergeCell ref="H17:L20"/>
    <mergeCell ref="B19:F19"/>
    <mergeCell ref="B10:G10"/>
    <mergeCell ref="H10:J10"/>
    <mergeCell ref="B11:F12"/>
    <mergeCell ref="G11:I12"/>
    <mergeCell ref="B14:E14"/>
    <mergeCell ref="F14:H14"/>
    <mergeCell ref="B15:D15"/>
    <mergeCell ref="F15:G15"/>
  </mergeCells>
  <hyperlinks>
    <hyperlink ref="B18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download">
                <anchor moveWithCells="1">
                  <from>
                    <xdr:col>6</xdr:col>
                    <xdr:colOff>30480</xdr:colOff>
                    <xdr:row>10</xdr:row>
                    <xdr:rowOff>38100</xdr:rowOff>
                  </from>
                  <to>
                    <xdr:col>8</xdr:col>
                    <xdr:colOff>457200</xdr:colOff>
                    <xdr:row>11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8"/>
  <sheetViews>
    <sheetView workbookViewId="0">
      <selection activeCell="D5" sqref="D5"/>
    </sheetView>
  </sheetViews>
  <sheetFormatPr defaultRowHeight="14.4"/>
  <cols>
    <col min="1" max="1" width="11.33203125" customWidth="1"/>
  </cols>
  <sheetData>
    <row r="1" spans="1:19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I1" t="s">
        <v>172</v>
      </c>
      <c r="J1" t="s">
        <v>173</v>
      </c>
      <c r="K1" t="s">
        <v>174</v>
      </c>
      <c r="L1" t="s">
        <v>175</v>
      </c>
      <c r="M1" t="s">
        <v>176</v>
      </c>
    </row>
    <row r="2" spans="1:19">
      <c r="A2">
        <v>450</v>
      </c>
      <c r="B2">
        <v>28.27</v>
      </c>
      <c r="C2">
        <v>33.840000000000003</v>
      </c>
      <c r="D2">
        <v>35.44</v>
      </c>
      <c r="E2">
        <v>33.5</v>
      </c>
      <c r="F2">
        <v>28.02</v>
      </c>
      <c r="G2">
        <v>26.88</v>
      </c>
      <c r="H2">
        <v>24.77</v>
      </c>
      <c r="I2">
        <v>21.07</v>
      </c>
      <c r="J2">
        <v>19</v>
      </c>
      <c r="K2">
        <v>20.16</v>
      </c>
      <c r="L2">
        <v>26.03</v>
      </c>
      <c r="M2">
        <v>29.42</v>
      </c>
    </row>
    <row r="3" spans="1:19">
      <c r="A3">
        <v>550</v>
      </c>
      <c r="B3">
        <v>15.34</v>
      </c>
      <c r="C3">
        <v>22.54</v>
      </c>
      <c r="D3">
        <v>24.17</v>
      </c>
      <c r="E3">
        <v>22.66</v>
      </c>
      <c r="F3">
        <v>19.649999999999999</v>
      </c>
      <c r="G3">
        <v>16.57</v>
      </c>
      <c r="H3">
        <v>15.01</v>
      </c>
      <c r="I3">
        <v>12.54</v>
      </c>
      <c r="J3">
        <v>9.6</v>
      </c>
      <c r="K3">
        <v>7.26</v>
      </c>
      <c r="L3">
        <v>13.68</v>
      </c>
      <c r="M3">
        <v>15.5</v>
      </c>
      <c r="O3" t="s">
        <v>184</v>
      </c>
      <c r="P3" t="s">
        <v>185</v>
      </c>
    </row>
    <row r="4" spans="1:19">
      <c r="A4">
        <v>650</v>
      </c>
      <c r="B4">
        <v>4.71</v>
      </c>
      <c r="C4">
        <v>9.83</v>
      </c>
      <c r="D4">
        <v>13.29</v>
      </c>
      <c r="E4">
        <v>13.27</v>
      </c>
      <c r="F4">
        <v>11.48</v>
      </c>
      <c r="G4">
        <v>9.69</v>
      </c>
      <c r="H4">
        <v>8.43</v>
      </c>
      <c r="I4">
        <v>7.74</v>
      </c>
      <c r="J4">
        <v>7.19</v>
      </c>
      <c r="K4">
        <v>4.68</v>
      </c>
      <c r="L4">
        <v>5.97</v>
      </c>
      <c r="M4">
        <v>6.79</v>
      </c>
      <c r="O4">
        <f>15/28</f>
        <v>0.5357142857142857</v>
      </c>
      <c r="P4">
        <f>1-P5</f>
        <v>0.998</v>
      </c>
      <c r="Q4">
        <f>D3</f>
        <v>24.17</v>
      </c>
      <c r="R4">
        <f>C3</f>
        <v>22.54</v>
      </c>
    </row>
    <row r="5" spans="1:19">
      <c r="A5">
        <v>750</v>
      </c>
      <c r="B5">
        <v>0.34</v>
      </c>
      <c r="C5">
        <v>2.4700000000000002</v>
      </c>
      <c r="D5">
        <v>1.99</v>
      </c>
      <c r="E5">
        <v>2.96</v>
      </c>
      <c r="F5">
        <v>2.4900000000000002</v>
      </c>
      <c r="G5">
        <v>3.44</v>
      </c>
      <c r="H5">
        <v>2.66</v>
      </c>
      <c r="I5">
        <v>2.38</v>
      </c>
      <c r="J5">
        <v>1.72</v>
      </c>
      <c r="K5">
        <v>1.4</v>
      </c>
      <c r="L5">
        <v>3.54</v>
      </c>
      <c r="M5">
        <v>4.0199999999999996</v>
      </c>
      <c r="O5">
        <f>1-O4</f>
        <v>0.4642857142857143</v>
      </c>
      <c r="P5">
        <v>2E-3</v>
      </c>
      <c r="Q5">
        <f>C4</f>
        <v>9.83</v>
      </c>
      <c r="R5">
        <f>D4</f>
        <v>13.29</v>
      </c>
    </row>
    <row r="7" spans="1:19">
      <c r="A7" t="s">
        <v>164</v>
      </c>
      <c r="B7" t="s">
        <v>165</v>
      </c>
      <c r="C7" t="s">
        <v>166</v>
      </c>
      <c r="D7" t="s">
        <v>167</v>
      </c>
      <c r="E7" t="s">
        <v>168</v>
      </c>
      <c r="F7" t="s">
        <v>169</v>
      </c>
      <c r="G7" t="s">
        <v>170</v>
      </c>
      <c r="H7" t="s">
        <v>171</v>
      </c>
      <c r="I7" t="s">
        <v>172</v>
      </c>
      <c r="J7" t="s">
        <v>173</v>
      </c>
      <c r="K7" t="s">
        <v>174</v>
      </c>
      <c r="L7" t="s">
        <v>175</v>
      </c>
      <c r="M7" t="s">
        <v>176</v>
      </c>
      <c r="Q7">
        <f>O4*P4*Q4</f>
        <v>12.922317857142856</v>
      </c>
      <c r="R7" s="74">
        <f>R4*P4*O5</f>
        <v>10.44407</v>
      </c>
      <c r="S7">
        <f>SUM(Q7:R7)</f>
        <v>23.366387857142854</v>
      </c>
    </row>
    <row r="8" spans="1:19">
      <c r="A8">
        <v>450</v>
      </c>
      <c r="B8">
        <v>13.46</v>
      </c>
      <c r="C8">
        <v>19.68</v>
      </c>
      <c r="D8">
        <v>20.62</v>
      </c>
      <c r="E8">
        <v>18.600000000000001</v>
      </c>
      <c r="F8">
        <v>17.16</v>
      </c>
      <c r="G8">
        <v>12.27</v>
      </c>
      <c r="H8">
        <v>9.84</v>
      </c>
      <c r="I8">
        <v>7.81</v>
      </c>
      <c r="J8">
        <v>5.14</v>
      </c>
      <c r="K8">
        <v>4.97</v>
      </c>
      <c r="L8">
        <v>9.06</v>
      </c>
      <c r="M8">
        <v>12.77</v>
      </c>
      <c r="Q8" s="73">
        <f>Q5*P5*O5</f>
        <v>9.1278571428571442E-3</v>
      </c>
      <c r="R8" s="75">
        <f>R5*P5*O4</f>
        <v>1.4239285714285713E-2</v>
      </c>
      <c r="S8" s="73">
        <f>SUM(Q8:R8)</f>
        <v>2.3367142857142857E-2</v>
      </c>
    </row>
    <row r="9" spans="1:19">
      <c r="A9">
        <v>550</v>
      </c>
      <c r="B9">
        <v>3.45</v>
      </c>
      <c r="C9">
        <v>8.91</v>
      </c>
      <c r="D9">
        <v>11.92</v>
      </c>
      <c r="E9">
        <v>10.32</v>
      </c>
      <c r="F9">
        <v>8.8699999999999992</v>
      </c>
      <c r="G9">
        <v>7.49</v>
      </c>
      <c r="H9">
        <v>4.82</v>
      </c>
      <c r="I9">
        <v>3.35</v>
      </c>
      <c r="J9">
        <v>0.81</v>
      </c>
      <c r="K9">
        <v>-1.53</v>
      </c>
      <c r="L9">
        <v>-0.45</v>
      </c>
      <c r="M9">
        <v>4.2300000000000004</v>
      </c>
      <c r="Q9">
        <f>SUM(Q7:Q8)</f>
        <v>12.931445714285713</v>
      </c>
      <c r="R9" s="74">
        <f>SUM(R7:R8)</f>
        <v>10.458309285714286</v>
      </c>
      <c r="S9">
        <f>SUM(Q9:R9)</f>
        <v>23.389755000000001</v>
      </c>
    </row>
    <row r="10" spans="1:19">
      <c r="A10">
        <v>650</v>
      </c>
      <c r="B10">
        <v>-1.27</v>
      </c>
      <c r="C10">
        <v>1.18</v>
      </c>
      <c r="D10">
        <v>2.2799999999999998</v>
      </c>
      <c r="E10">
        <v>2.34</v>
      </c>
      <c r="F10">
        <v>2.4700000000000002</v>
      </c>
      <c r="G10">
        <v>1.66</v>
      </c>
      <c r="H10">
        <v>-0.23</v>
      </c>
      <c r="I10">
        <v>-0.57999999999999996</v>
      </c>
      <c r="J10">
        <v>-2</v>
      </c>
      <c r="K10">
        <v>-2.23</v>
      </c>
      <c r="L10">
        <v>-2.2599999999999998</v>
      </c>
      <c r="M10">
        <v>-0.81</v>
      </c>
    </row>
    <row r="11" spans="1:19">
      <c r="A11">
        <v>750</v>
      </c>
      <c r="B11">
        <v>-4.2699999999999996</v>
      </c>
      <c r="C11">
        <v>-3.22</v>
      </c>
      <c r="D11">
        <v>-5.51</v>
      </c>
      <c r="E11">
        <v>-5.88</v>
      </c>
      <c r="F11">
        <v>-5.78</v>
      </c>
      <c r="G11">
        <v>-3.9</v>
      </c>
      <c r="H11">
        <v>-4.6900000000000004</v>
      </c>
      <c r="I11">
        <v>-5.78</v>
      </c>
      <c r="J11">
        <v>-5.39</v>
      </c>
      <c r="K11">
        <v>-6.5</v>
      </c>
      <c r="L11">
        <v>-4.3099999999999996</v>
      </c>
      <c r="M11">
        <v>-3.35</v>
      </c>
    </row>
    <row r="14" spans="1:19">
      <c r="A14" t="s">
        <v>177</v>
      </c>
    </row>
    <row r="15" spans="1:19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</row>
    <row r="16" spans="1:19">
      <c r="A16">
        <v>500</v>
      </c>
      <c r="B16">
        <v>1.002</v>
      </c>
      <c r="C16">
        <v>1.0369999999999999</v>
      </c>
      <c r="D16">
        <v>1.056</v>
      </c>
      <c r="E16">
        <v>1.048</v>
      </c>
      <c r="F16">
        <v>1.012</v>
      </c>
      <c r="G16">
        <v>0.998</v>
      </c>
      <c r="H16">
        <v>0.98899999999999999</v>
      </c>
      <c r="I16">
        <v>0.98599999999999999</v>
      </c>
      <c r="J16">
        <v>0.96099999999999997</v>
      </c>
      <c r="K16">
        <v>0.94699999999999995</v>
      </c>
      <c r="L16">
        <v>0.97299999999999998</v>
      </c>
      <c r="M16">
        <v>0.99099999999999999</v>
      </c>
    </row>
    <row r="17" spans="1:13">
      <c r="A17">
        <v>600</v>
      </c>
      <c r="B17">
        <v>0.995</v>
      </c>
      <c r="C17">
        <v>1</v>
      </c>
      <c r="D17">
        <v>1.012</v>
      </c>
      <c r="E17">
        <v>1.018</v>
      </c>
      <c r="F17">
        <v>1.012</v>
      </c>
      <c r="G17">
        <v>1.018</v>
      </c>
      <c r="H17">
        <v>1.0149999999999999</v>
      </c>
      <c r="I17">
        <v>1.0029999999999999</v>
      </c>
      <c r="J17">
        <v>0.98099999999999998</v>
      </c>
      <c r="K17">
        <v>0.97099999999999997</v>
      </c>
      <c r="L17">
        <v>0.98</v>
      </c>
      <c r="M17">
        <v>0.995</v>
      </c>
    </row>
    <row r="18" spans="1:13">
      <c r="A18">
        <v>700</v>
      </c>
      <c r="B18">
        <v>1.008</v>
      </c>
      <c r="C18">
        <v>0.997</v>
      </c>
      <c r="D18">
        <v>0.98</v>
      </c>
      <c r="E18">
        <v>0.97699999999999998</v>
      </c>
      <c r="F18">
        <v>0.97699999999999998</v>
      </c>
      <c r="G18">
        <v>1.0069999999999999</v>
      </c>
      <c r="H18">
        <v>1.016</v>
      </c>
      <c r="I18">
        <v>1.006</v>
      </c>
      <c r="J18">
        <v>0.99299999999999999</v>
      </c>
      <c r="K18">
        <v>0.998</v>
      </c>
      <c r="L18">
        <v>1.014</v>
      </c>
      <c r="M18">
        <v>1.0269999999999999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C19"/>
  <sheetViews>
    <sheetView workbookViewId="0">
      <pane xSplit="5" topLeftCell="F1" activePane="topRight" state="frozenSplit"/>
      <selection activeCell="F36" sqref="F36"/>
      <selection pane="topRight" activeCell="F1" sqref="F1"/>
    </sheetView>
  </sheetViews>
  <sheetFormatPr defaultRowHeight="14.4"/>
  <cols>
    <col min="1" max="1" width="2.44140625" customWidth="1"/>
    <col min="4" max="4" width="10.5546875" customWidth="1"/>
    <col min="5" max="5" width="10.88671875" customWidth="1"/>
    <col min="6" max="6" width="10.33203125" customWidth="1"/>
    <col min="7" max="7" width="9.33203125" customWidth="1"/>
    <col min="8" max="8" width="9" customWidth="1"/>
    <col min="9" max="9" width="9.33203125" customWidth="1"/>
    <col min="10" max="10" width="8.88671875" customWidth="1"/>
    <col min="16" max="16" width="9.6640625" bestFit="1" customWidth="1"/>
  </cols>
  <sheetData>
    <row r="1" spans="2:29" ht="17.25" customHeight="1">
      <c r="D1" s="177"/>
      <c r="E1" s="177"/>
    </row>
    <row r="2" spans="2:29" ht="36">
      <c r="D2" s="8" t="s">
        <v>17</v>
      </c>
      <c r="E2" s="8" t="s">
        <v>18</v>
      </c>
      <c r="F2" s="192"/>
      <c r="G2" s="193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3.4">
      <c r="B3" s="194" t="s">
        <v>13</v>
      </c>
      <c r="C3" s="195"/>
      <c r="D3" s="101">
        <v>300</v>
      </c>
      <c r="E3" s="101">
        <v>800</v>
      </c>
      <c r="F3" s="181" t="s">
        <v>10</v>
      </c>
      <c r="G3" s="182"/>
      <c r="H3" s="181" t="s">
        <v>11</v>
      </c>
      <c r="I3" s="182"/>
      <c r="J3" s="181" t="s">
        <v>14</v>
      </c>
      <c r="K3" s="182"/>
      <c r="L3" s="181" t="s">
        <v>12</v>
      </c>
      <c r="M3" s="182"/>
      <c r="N3" s="181" t="s">
        <v>15</v>
      </c>
      <c r="O3" s="182"/>
      <c r="P3" s="181" t="s">
        <v>16</v>
      </c>
      <c r="Q3" s="182"/>
      <c r="R3" s="181" t="s">
        <v>19</v>
      </c>
      <c r="S3" s="182"/>
      <c r="T3" s="5"/>
      <c r="U3" s="5"/>
      <c r="V3" s="5"/>
      <c r="W3" s="5"/>
      <c r="X3" s="5"/>
      <c r="Y3" s="5"/>
      <c r="Z3" s="5"/>
      <c r="AA3" s="5"/>
      <c r="AB3" s="4"/>
      <c r="AC3" s="4"/>
    </row>
    <row r="4" spans="2:29" ht="23.25" customHeight="1">
      <c r="B4" s="190" t="s">
        <v>7</v>
      </c>
      <c r="C4" s="191"/>
      <c r="D4" s="187" t="s">
        <v>178</v>
      </c>
      <c r="E4" s="188"/>
      <c r="F4" s="183"/>
      <c r="G4" s="184"/>
      <c r="H4" s="183"/>
      <c r="I4" s="184"/>
      <c r="J4" s="183"/>
      <c r="K4" s="184"/>
      <c r="L4" s="183"/>
      <c r="M4" s="184"/>
      <c r="N4" s="183"/>
      <c r="O4" s="184"/>
      <c r="P4" s="183"/>
      <c r="Q4" s="184"/>
      <c r="R4" s="183"/>
      <c r="S4" s="184"/>
      <c r="T4" s="5"/>
      <c r="U4" s="5"/>
      <c r="V4" s="5"/>
      <c r="W4" s="5"/>
      <c r="X4" s="5"/>
      <c r="Y4" s="5"/>
      <c r="Z4" s="5"/>
      <c r="AA4" s="5"/>
      <c r="AB4" s="4"/>
      <c r="AC4" s="4"/>
    </row>
    <row r="5" spans="2:29" ht="12.75" customHeight="1">
      <c r="B5" s="191"/>
      <c r="C5" s="191"/>
      <c r="D5" s="189"/>
      <c r="E5" s="189"/>
      <c r="F5" s="185"/>
      <c r="G5" s="186"/>
      <c r="H5" s="185"/>
      <c r="I5" s="186"/>
      <c r="J5" s="185"/>
      <c r="K5" s="186"/>
      <c r="L5" s="185"/>
      <c r="M5" s="186"/>
      <c r="N5" s="185"/>
      <c r="O5" s="186"/>
      <c r="P5" s="185"/>
      <c r="Q5" s="186"/>
      <c r="R5" s="185"/>
      <c r="S5" s="186"/>
      <c r="T5" s="5"/>
      <c r="U5" s="5"/>
      <c r="V5" s="5"/>
      <c r="W5" s="5"/>
      <c r="X5" s="5"/>
      <c r="Y5" s="5"/>
      <c r="Z5" s="5"/>
      <c r="AA5" s="5"/>
      <c r="AB5" s="4"/>
      <c r="AC5" s="4"/>
    </row>
    <row r="6" spans="2:29" ht="21" customHeight="1">
      <c r="D6" s="179" t="s">
        <v>13</v>
      </c>
      <c r="E6" s="180"/>
      <c r="F6" s="14" t="str">
        <f>IF(D4&lt;&gt;"Heifers","Steers","NA")</f>
        <v>Steers</v>
      </c>
      <c r="G6" s="14" t="str">
        <f>IF(D4&lt;&gt;"Steers","Heifers","NA")</f>
        <v>Heifers</v>
      </c>
      <c r="H6" s="14" t="str">
        <f t="shared" ref="H6:S6" si="0">F6</f>
        <v>Steers</v>
      </c>
      <c r="I6" s="14" t="str">
        <f>G6</f>
        <v>Heifers</v>
      </c>
      <c r="J6" s="14" t="str">
        <f t="shared" si="0"/>
        <v>Steers</v>
      </c>
      <c r="K6" s="14" t="str">
        <f t="shared" si="0"/>
        <v>Heifers</v>
      </c>
      <c r="L6" s="14" t="str">
        <f t="shared" si="0"/>
        <v>Steers</v>
      </c>
      <c r="M6" s="14" t="str">
        <f t="shared" si="0"/>
        <v>Heifers</v>
      </c>
      <c r="N6" s="14" t="str">
        <f t="shared" si="0"/>
        <v>Steers</v>
      </c>
      <c r="O6" s="14" t="str">
        <f t="shared" si="0"/>
        <v>Heifers</v>
      </c>
      <c r="P6" s="14" t="str">
        <f t="shared" si="0"/>
        <v>Steers</v>
      </c>
      <c r="Q6" s="14" t="str">
        <f t="shared" si="0"/>
        <v>Heifers</v>
      </c>
      <c r="R6" s="14" t="str">
        <f t="shared" si="0"/>
        <v>Steers</v>
      </c>
      <c r="S6" s="14" t="str">
        <f t="shared" si="0"/>
        <v>Heifers</v>
      </c>
      <c r="T6" s="6"/>
      <c r="U6" s="6"/>
      <c r="V6" s="6"/>
      <c r="W6" s="6"/>
      <c r="X6" s="6"/>
      <c r="Y6" s="6"/>
      <c r="Z6" s="6"/>
      <c r="AA6" s="6"/>
      <c r="AB6" s="4"/>
      <c r="AC6" s="4"/>
    </row>
    <row r="7" spans="2:29" ht="23.4">
      <c r="C7" s="178" t="s">
        <v>55</v>
      </c>
      <c r="D7" s="102">
        <v>300</v>
      </c>
      <c r="E7" s="102">
        <f>D7+50</f>
        <v>350</v>
      </c>
      <c r="F7" s="97">
        <v>120</v>
      </c>
      <c r="G7" s="97">
        <v>120</v>
      </c>
      <c r="H7" s="98">
        <v>45</v>
      </c>
      <c r="I7" s="98">
        <v>45</v>
      </c>
      <c r="J7" s="99">
        <v>1.2</v>
      </c>
      <c r="K7" s="99">
        <v>1</v>
      </c>
      <c r="L7" s="98">
        <v>100</v>
      </c>
      <c r="M7" s="98">
        <v>100</v>
      </c>
      <c r="N7" s="99">
        <v>2</v>
      </c>
      <c r="O7" s="99">
        <v>1.8</v>
      </c>
      <c r="P7" s="100">
        <v>0.02</v>
      </c>
      <c r="Q7" s="100">
        <v>1.7999999999999999E-2</v>
      </c>
      <c r="R7" s="99">
        <v>0.8</v>
      </c>
      <c r="S7" s="99">
        <v>0.9</v>
      </c>
      <c r="T7" s="7"/>
      <c r="U7" s="7"/>
      <c r="V7" s="7"/>
      <c r="W7" s="7"/>
      <c r="X7" s="7"/>
      <c r="Y7" s="7"/>
      <c r="Z7" s="7"/>
      <c r="AA7" s="7"/>
      <c r="AB7" s="4"/>
      <c r="AC7" s="4"/>
    </row>
    <row r="8" spans="2:29" ht="23.4">
      <c r="C8" s="178"/>
      <c r="D8" s="103">
        <v>350</v>
      </c>
      <c r="E8" s="103">
        <v>400</v>
      </c>
      <c r="F8" s="97">
        <v>121.74487204724409</v>
      </c>
      <c r="G8" s="97">
        <v>118</v>
      </c>
      <c r="H8" s="98">
        <v>45</v>
      </c>
      <c r="I8" s="98">
        <v>45</v>
      </c>
      <c r="J8" s="99">
        <v>1.2</v>
      </c>
      <c r="K8" s="99">
        <v>1</v>
      </c>
      <c r="L8" s="98">
        <v>100</v>
      </c>
      <c r="M8" s="98">
        <v>100</v>
      </c>
      <c r="N8" s="99">
        <v>2.1</v>
      </c>
      <c r="O8" s="99">
        <v>1.9</v>
      </c>
      <c r="P8" s="100">
        <v>0.02</v>
      </c>
      <c r="Q8" s="100">
        <v>1.7999999999999999E-2</v>
      </c>
      <c r="R8" s="99">
        <v>0.7</v>
      </c>
      <c r="S8" s="99">
        <v>0.8</v>
      </c>
      <c r="T8" s="7"/>
      <c r="U8" s="7"/>
      <c r="V8" s="7"/>
      <c r="W8" s="7"/>
      <c r="X8" s="7"/>
      <c r="Y8" s="7"/>
      <c r="Z8" s="7"/>
      <c r="AA8" s="7"/>
      <c r="AB8" s="4"/>
      <c r="AC8" s="4"/>
    </row>
    <row r="9" spans="2:29" ht="23.4">
      <c r="C9" s="178"/>
      <c r="D9" s="103">
        <v>400</v>
      </c>
      <c r="E9" s="103">
        <v>450</v>
      </c>
      <c r="F9" s="97">
        <v>112.30349409448819</v>
      </c>
      <c r="G9" s="97">
        <v>101.41996062992126</v>
      </c>
      <c r="H9" s="98">
        <v>45</v>
      </c>
      <c r="I9" s="98">
        <v>45</v>
      </c>
      <c r="J9" s="99">
        <v>1.4</v>
      </c>
      <c r="K9" s="99">
        <v>1.2</v>
      </c>
      <c r="L9" s="98">
        <v>100</v>
      </c>
      <c r="M9" s="98">
        <v>100</v>
      </c>
      <c r="N9" s="99">
        <v>2.2000000000000002</v>
      </c>
      <c r="O9" s="99">
        <v>2</v>
      </c>
      <c r="P9" s="100">
        <v>1.9E-2</v>
      </c>
      <c r="Q9" s="100">
        <v>1.7000000000000001E-2</v>
      </c>
      <c r="R9" s="99">
        <v>0.6</v>
      </c>
      <c r="S9" s="99">
        <v>0.7</v>
      </c>
      <c r="T9" s="7"/>
      <c r="U9" s="7"/>
      <c r="V9" s="7"/>
      <c r="W9" s="7"/>
      <c r="X9" s="7"/>
      <c r="Y9" s="7"/>
      <c r="Z9" s="7"/>
      <c r="AA9" s="7"/>
      <c r="AB9" s="4"/>
      <c r="AC9" s="4"/>
    </row>
    <row r="10" spans="2:29" ht="23.4">
      <c r="C10" s="178"/>
      <c r="D10" s="103">
        <v>450</v>
      </c>
      <c r="E10" s="103">
        <v>500</v>
      </c>
      <c r="F10" s="97">
        <v>110.67670275590551</v>
      </c>
      <c r="G10" s="97">
        <v>96.49467519685038</v>
      </c>
      <c r="H10" s="98">
        <v>45</v>
      </c>
      <c r="I10" s="98">
        <v>45</v>
      </c>
      <c r="J10" s="99">
        <v>1.4</v>
      </c>
      <c r="K10" s="99">
        <v>1.2</v>
      </c>
      <c r="L10" s="98">
        <v>100</v>
      </c>
      <c r="M10" s="98">
        <v>100</v>
      </c>
      <c r="N10" s="99">
        <v>2.2999999999999998</v>
      </c>
      <c r="O10" s="99">
        <v>2.1</v>
      </c>
      <c r="P10" s="100">
        <v>1.9E-2</v>
      </c>
      <c r="Q10" s="100">
        <v>1.7000000000000001E-2</v>
      </c>
      <c r="R10" s="99">
        <v>0.5</v>
      </c>
      <c r="S10" s="99">
        <v>0.6</v>
      </c>
      <c r="T10" s="7"/>
      <c r="U10" s="7"/>
      <c r="V10" s="7"/>
      <c r="W10" s="7"/>
      <c r="X10" s="7"/>
      <c r="Y10" s="7"/>
      <c r="Z10" s="7"/>
      <c r="AA10" s="7"/>
      <c r="AB10" s="4"/>
      <c r="AC10" s="4"/>
    </row>
    <row r="11" spans="2:29" ht="23.4">
      <c r="C11" s="178"/>
      <c r="D11" s="103">
        <v>500</v>
      </c>
      <c r="E11" s="103">
        <v>550</v>
      </c>
      <c r="F11" s="97">
        <v>107.27341535433069</v>
      </c>
      <c r="G11" s="97">
        <v>97.80708661417323</v>
      </c>
      <c r="H11" s="98">
        <v>45</v>
      </c>
      <c r="I11" s="98">
        <v>45</v>
      </c>
      <c r="J11" s="99">
        <v>1.6</v>
      </c>
      <c r="K11" s="99">
        <v>1.4</v>
      </c>
      <c r="L11" s="98">
        <v>100</v>
      </c>
      <c r="M11" s="98">
        <v>100</v>
      </c>
      <c r="N11" s="99">
        <v>2.4</v>
      </c>
      <c r="O11" s="99">
        <v>2.2000000000000002</v>
      </c>
      <c r="P11" s="100">
        <v>1.7999999999999999E-2</v>
      </c>
      <c r="Q11" s="100">
        <v>1.6E-2</v>
      </c>
      <c r="R11" s="99">
        <v>0.5</v>
      </c>
      <c r="S11" s="99">
        <v>0.6</v>
      </c>
      <c r="T11" s="7"/>
      <c r="U11" s="7"/>
      <c r="V11" s="7"/>
      <c r="W11" s="7"/>
      <c r="X11" s="7"/>
      <c r="Y11" s="7"/>
      <c r="Z11" s="7"/>
      <c r="AA11" s="7"/>
      <c r="AB11" s="4"/>
      <c r="AC11" s="4"/>
    </row>
    <row r="12" spans="2:29" ht="23.4">
      <c r="C12" s="178"/>
      <c r="D12" s="103">
        <v>550</v>
      </c>
      <c r="E12" s="103">
        <v>600</v>
      </c>
      <c r="F12" s="97">
        <v>105.02784448818899</v>
      </c>
      <c r="G12" s="97">
        <v>94.98265748031497</v>
      </c>
      <c r="H12" s="98">
        <v>45</v>
      </c>
      <c r="I12" s="98">
        <v>45</v>
      </c>
      <c r="J12" s="99">
        <v>1.6</v>
      </c>
      <c r="K12" s="99">
        <v>1.4</v>
      </c>
      <c r="L12" s="98">
        <v>100</v>
      </c>
      <c r="M12" s="98">
        <v>100</v>
      </c>
      <c r="N12" s="99">
        <v>2.4</v>
      </c>
      <c r="O12" s="99">
        <v>2.2000000000000002</v>
      </c>
      <c r="P12" s="100">
        <v>1.7000000000000001E-2</v>
      </c>
      <c r="Q12" s="100">
        <v>1.4999999999999999E-2</v>
      </c>
      <c r="R12" s="99">
        <v>0.4</v>
      </c>
      <c r="S12" s="99">
        <v>0.5</v>
      </c>
      <c r="T12" s="7"/>
      <c r="U12" s="7"/>
      <c r="V12" s="7"/>
      <c r="W12" s="7"/>
      <c r="X12" s="7"/>
      <c r="Y12" s="7"/>
      <c r="Z12" s="7"/>
      <c r="AA12" s="7"/>
      <c r="AB12" s="4"/>
      <c r="AC12" s="4"/>
    </row>
    <row r="13" spans="2:29" ht="23.4">
      <c r="C13" s="178"/>
      <c r="D13" s="103">
        <v>600</v>
      </c>
      <c r="E13" s="103">
        <v>650</v>
      </c>
      <c r="F13" s="97">
        <v>102.59264763779527</v>
      </c>
      <c r="G13" s="97">
        <v>95.96072834645669</v>
      </c>
      <c r="H13" s="98">
        <v>45</v>
      </c>
      <c r="I13" s="98">
        <v>45</v>
      </c>
      <c r="J13" s="99">
        <v>1.7</v>
      </c>
      <c r="K13" s="99">
        <v>1.5</v>
      </c>
      <c r="L13" s="98">
        <v>100</v>
      </c>
      <c r="M13" s="98">
        <v>100</v>
      </c>
      <c r="N13" s="99">
        <v>2.2999999999999998</v>
      </c>
      <c r="O13" s="99">
        <v>2.1</v>
      </c>
      <c r="P13" s="100">
        <v>1.6E-2</v>
      </c>
      <c r="Q13" s="100">
        <v>1.4E-2</v>
      </c>
      <c r="R13" s="99">
        <v>0.4</v>
      </c>
      <c r="S13" s="99">
        <v>0.5</v>
      </c>
      <c r="T13" s="7"/>
      <c r="U13" s="7"/>
      <c r="V13" s="7"/>
      <c r="W13" s="7"/>
      <c r="X13" s="7"/>
      <c r="Y13" s="7"/>
      <c r="Z13" s="7"/>
      <c r="AA13" s="7"/>
      <c r="AB13" s="4"/>
      <c r="AC13" s="4"/>
    </row>
    <row r="14" spans="2:29" ht="23.4">
      <c r="C14" s="178"/>
      <c r="D14" s="103">
        <v>650</v>
      </c>
      <c r="E14" s="103">
        <v>700</v>
      </c>
      <c r="F14" s="97">
        <v>100.58161417322835</v>
      </c>
      <c r="G14" s="97">
        <v>95.416801181102386</v>
      </c>
      <c r="H14" s="98">
        <v>21</v>
      </c>
      <c r="I14" s="98">
        <v>21</v>
      </c>
      <c r="J14" s="99">
        <v>1.7</v>
      </c>
      <c r="K14" s="99">
        <v>1.5</v>
      </c>
      <c r="L14" s="98">
        <v>100</v>
      </c>
      <c r="M14" s="98">
        <v>100</v>
      </c>
      <c r="N14" s="99">
        <v>2.2999999999999998</v>
      </c>
      <c r="O14" s="99">
        <v>2.1</v>
      </c>
      <c r="P14" s="100">
        <v>1.4E-2</v>
      </c>
      <c r="Q14" s="100">
        <v>1.2E-2</v>
      </c>
      <c r="R14" s="99">
        <v>0.4</v>
      </c>
      <c r="S14" s="99">
        <v>0.5</v>
      </c>
      <c r="T14" s="7"/>
      <c r="U14" s="7"/>
      <c r="V14" s="7"/>
      <c r="W14" s="7"/>
      <c r="X14" s="7"/>
      <c r="Y14" s="7"/>
      <c r="Z14" s="7"/>
      <c r="AA14" s="7"/>
      <c r="AB14" s="4"/>
      <c r="AC14" s="4"/>
    </row>
    <row r="15" spans="2:29" ht="23.4">
      <c r="C15" s="178"/>
      <c r="D15" s="103">
        <v>700</v>
      </c>
      <c r="E15" s="103">
        <v>750</v>
      </c>
      <c r="F15" s="97">
        <v>101.23532480314961</v>
      </c>
      <c r="G15" s="97">
        <v>92.742076771653529</v>
      </c>
      <c r="H15" s="98">
        <v>21</v>
      </c>
      <c r="I15" s="98">
        <v>21</v>
      </c>
      <c r="J15" s="99">
        <v>1.7</v>
      </c>
      <c r="K15" s="99">
        <v>1.5</v>
      </c>
      <c r="L15" s="98">
        <v>100</v>
      </c>
      <c r="M15" s="98">
        <v>100</v>
      </c>
      <c r="N15" s="99">
        <v>2.2999999999999998</v>
      </c>
      <c r="O15" s="99">
        <v>2.1</v>
      </c>
      <c r="P15" s="100">
        <v>1.2E-2</v>
      </c>
      <c r="Q15" s="100">
        <v>0.01</v>
      </c>
      <c r="R15" s="99">
        <v>0.3</v>
      </c>
      <c r="S15" s="99">
        <v>0.4</v>
      </c>
      <c r="T15" s="7"/>
      <c r="U15" s="7"/>
      <c r="V15" s="7"/>
      <c r="W15" s="7"/>
      <c r="X15" s="7"/>
      <c r="Y15" s="7"/>
      <c r="Z15" s="7"/>
      <c r="AA15" s="7"/>
      <c r="AB15" s="4"/>
      <c r="AC15" s="4"/>
    </row>
    <row r="16" spans="2:29" ht="23.4">
      <c r="C16" s="178"/>
      <c r="D16" s="103">
        <v>750</v>
      </c>
      <c r="E16" s="103">
        <v>800</v>
      </c>
      <c r="F16" s="97">
        <v>96.454753937007894</v>
      </c>
      <c r="G16" s="97">
        <v>89.503464566929139</v>
      </c>
      <c r="H16" s="98">
        <v>21</v>
      </c>
      <c r="I16" s="98">
        <v>21</v>
      </c>
      <c r="J16" s="99">
        <v>1.7</v>
      </c>
      <c r="K16" s="99">
        <v>1.5</v>
      </c>
      <c r="L16" s="98">
        <v>100</v>
      </c>
      <c r="M16" s="98">
        <v>100</v>
      </c>
      <c r="N16" s="99">
        <v>2.2999999999999998</v>
      </c>
      <c r="O16" s="99">
        <v>2.1</v>
      </c>
      <c r="P16" s="100">
        <v>0.01</v>
      </c>
      <c r="Q16" s="100">
        <v>8.9999999999999993E-3</v>
      </c>
      <c r="R16" s="99">
        <v>0.3</v>
      </c>
      <c r="S16" s="99">
        <v>0.4</v>
      </c>
      <c r="T16" s="7"/>
      <c r="U16" s="7"/>
      <c r="V16" s="7"/>
      <c r="W16" s="7"/>
      <c r="X16" s="7"/>
      <c r="Y16" s="7"/>
      <c r="Z16" s="7"/>
      <c r="AA16" s="7"/>
      <c r="AB16" s="4"/>
      <c r="AC16" s="4"/>
    </row>
    <row r="17" spans="6:27">
      <c r="T17" s="3"/>
      <c r="U17" s="3"/>
      <c r="V17" s="3"/>
      <c r="W17" s="3"/>
      <c r="X17" s="3"/>
      <c r="Y17" s="3"/>
      <c r="Z17" s="3"/>
      <c r="AA17" s="3"/>
    </row>
    <row r="18" spans="6:27" ht="15" customHeight="1">
      <c r="F18" s="176" t="s">
        <v>70</v>
      </c>
      <c r="G18" s="176"/>
      <c r="H18" s="176"/>
      <c r="I18" s="176"/>
      <c r="J18" s="176"/>
      <c r="K18" s="176"/>
      <c r="L18" s="176"/>
      <c r="M18" s="176"/>
      <c r="N18" s="176"/>
      <c r="O18" s="176"/>
    </row>
    <row r="19" spans="6:27" ht="15" customHeight="1">
      <c r="F19" s="176"/>
      <c r="G19" s="176"/>
      <c r="H19" s="176"/>
      <c r="I19" s="176"/>
      <c r="J19" s="176"/>
      <c r="K19" s="176"/>
      <c r="L19" s="176"/>
      <c r="M19" s="176"/>
      <c r="N19" s="176"/>
      <c r="O19" s="176"/>
    </row>
  </sheetData>
  <sheetProtection selectLockedCells="1"/>
  <mergeCells count="15">
    <mergeCell ref="R3:S5"/>
    <mergeCell ref="B3:C3"/>
    <mergeCell ref="L3:M5"/>
    <mergeCell ref="N3:O5"/>
    <mergeCell ref="P3:Q5"/>
    <mergeCell ref="F18:O19"/>
    <mergeCell ref="D1:E1"/>
    <mergeCell ref="C7:C16"/>
    <mergeCell ref="D6:E6"/>
    <mergeCell ref="F3:G5"/>
    <mergeCell ref="H3:I5"/>
    <mergeCell ref="J3:K5"/>
    <mergeCell ref="D4:E5"/>
    <mergeCell ref="B4:C5"/>
    <mergeCell ref="F2:G2"/>
  </mergeCells>
  <conditionalFormatting sqref="E3">
    <cfRule type="expression" dxfId="0" priority="1" stopIfTrue="1">
      <formula>"&lt;d3"</formula>
    </cfRule>
  </conditionalFormatting>
  <pageMargins left="0.7" right="0.7" top="0.75" bottom="0.75" header="0.3" footer="0.3"/>
  <pageSetup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purch_price">
                <anchor moveWithCells="1" sizeWithCells="1">
                  <from>
                    <xdr:col>5</xdr:col>
                    <xdr:colOff>45720</xdr:colOff>
                    <xdr:row>1</xdr:row>
                    <xdr:rowOff>30480</xdr:rowOff>
                  </from>
                  <to>
                    <xdr:col>7</xdr:col>
                    <xdr:colOff>137160</xdr:colOff>
                    <xdr:row>1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2:R25"/>
  <sheetViews>
    <sheetView workbookViewId="0">
      <selection activeCell="F7" sqref="F7"/>
    </sheetView>
  </sheetViews>
  <sheetFormatPr defaultRowHeight="14.4"/>
  <cols>
    <col min="5" max="5" width="10" customWidth="1"/>
    <col min="6" max="14" width="9.5546875" customWidth="1"/>
    <col min="15" max="15" width="9.33203125" customWidth="1"/>
  </cols>
  <sheetData>
    <row r="2" spans="2:18" ht="25.5" customHeight="1">
      <c r="F2" s="196" t="s">
        <v>8</v>
      </c>
      <c r="G2" s="197"/>
      <c r="H2" s="197"/>
      <c r="I2" s="197"/>
      <c r="J2" s="197"/>
      <c r="K2" s="197"/>
      <c r="L2" s="197"/>
      <c r="M2" s="197"/>
      <c r="N2" s="197"/>
      <c r="O2" s="197"/>
    </row>
    <row r="3" spans="2:18" ht="20.25" customHeight="1">
      <c r="B3" s="198" t="s">
        <v>55</v>
      </c>
      <c r="C3" s="199"/>
      <c r="D3" s="199"/>
      <c r="E3" s="200"/>
      <c r="F3" s="84">
        <f>'Cattle type'!D7+25</f>
        <v>325</v>
      </c>
      <c r="G3" s="84">
        <f>IF(F3&lt;'Cattle type'!$E$3-25,F3+50,"")</f>
        <v>375</v>
      </c>
      <c r="H3" s="84">
        <f>IF(G3&lt;'Cattle type'!$E$3-25,G3+50,"")</f>
        <v>425</v>
      </c>
      <c r="I3" s="84">
        <f>IF(H3&lt;'Cattle type'!$E$3-25,H3+50,"")</f>
        <v>475</v>
      </c>
      <c r="J3" s="84">
        <f>IF(I3&lt;'Cattle type'!$E$3-25,I3+50,"")</f>
        <v>525</v>
      </c>
      <c r="K3" s="84">
        <f>IF(J3&lt;'Cattle type'!$E$3-25,J3+50,"")</f>
        <v>575</v>
      </c>
      <c r="L3" s="84">
        <f>IF(K3&lt;'Cattle type'!$E$3-25,K3+50,"")</f>
        <v>625</v>
      </c>
      <c r="M3" s="84">
        <f>IF(L3&lt;'Cattle type'!$E$3-25,L3+50,"")</f>
        <v>675</v>
      </c>
      <c r="N3" s="84">
        <f>IF(M3&lt;'Cattle type'!$E$3-25,M3+50,"")</f>
        <v>725</v>
      </c>
      <c r="O3" s="84">
        <f>IF(N3&lt;'Cattle type'!$E$3-25,N3+50,"")</f>
        <v>775</v>
      </c>
    </row>
    <row r="4" spans="2:18" ht="21">
      <c r="B4" s="150" t="s">
        <v>33</v>
      </c>
      <c r="C4" s="151"/>
      <c r="D4" s="156"/>
      <c r="E4" s="9" t="s">
        <v>32</v>
      </c>
      <c r="F4" s="86">
        <v>20</v>
      </c>
      <c r="G4" s="86">
        <v>19</v>
      </c>
      <c r="H4" s="86">
        <v>19</v>
      </c>
      <c r="I4" s="86">
        <v>18</v>
      </c>
      <c r="J4" s="86">
        <v>17</v>
      </c>
      <c r="K4" s="86">
        <v>16</v>
      </c>
      <c r="L4" s="86">
        <v>14</v>
      </c>
      <c r="M4" s="86">
        <v>12</v>
      </c>
      <c r="N4" s="86">
        <v>12</v>
      </c>
      <c r="O4" s="86">
        <v>12</v>
      </c>
    </row>
    <row r="5" spans="2:18" ht="21">
      <c r="B5" s="150" t="s">
        <v>34</v>
      </c>
      <c r="C5" s="151"/>
      <c r="D5" s="156"/>
      <c r="E5" s="9" t="s">
        <v>32</v>
      </c>
      <c r="F5" s="86">
        <v>11</v>
      </c>
      <c r="G5" s="86">
        <v>12</v>
      </c>
      <c r="H5" s="86">
        <v>13</v>
      </c>
      <c r="I5" s="86">
        <v>14</v>
      </c>
      <c r="J5" s="86">
        <v>15</v>
      </c>
      <c r="K5" s="86">
        <v>16</v>
      </c>
      <c r="L5" s="86">
        <v>16.5</v>
      </c>
      <c r="M5" s="86">
        <v>16.5</v>
      </c>
      <c r="N5" s="86">
        <v>17</v>
      </c>
      <c r="O5" s="86">
        <v>18</v>
      </c>
    </row>
    <row r="6" spans="2:18" ht="21">
      <c r="B6" s="150" t="s">
        <v>35</v>
      </c>
      <c r="C6" s="151"/>
      <c r="D6" s="156"/>
      <c r="E6" s="9" t="s">
        <v>32</v>
      </c>
      <c r="F6" s="86">
        <v>2</v>
      </c>
      <c r="G6" s="86">
        <v>2</v>
      </c>
      <c r="H6" s="86">
        <v>2</v>
      </c>
      <c r="I6" s="86">
        <v>2</v>
      </c>
      <c r="J6" s="86">
        <v>2</v>
      </c>
      <c r="K6" s="86">
        <v>2</v>
      </c>
      <c r="L6" s="86">
        <v>2</v>
      </c>
      <c r="M6" s="86">
        <v>2</v>
      </c>
      <c r="N6" s="86">
        <v>2</v>
      </c>
      <c r="O6" s="86">
        <v>2</v>
      </c>
    </row>
    <row r="7" spans="2:18" ht="21">
      <c r="B7" s="150" t="s">
        <v>182</v>
      </c>
      <c r="C7" s="151"/>
      <c r="D7" s="156"/>
      <c r="E7" s="9" t="s">
        <v>37</v>
      </c>
      <c r="F7" s="86">
        <v>0.45</v>
      </c>
      <c r="G7" s="86">
        <v>0.46</v>
      </c>
      <c r="H7" s="86">
        <v>0.48</v>
      </c>
      <c r="I7" s="86">
        <v>0.5</v>
      </c>
      <c r="J7" s="86">
        <v>0.53</v>
      </c>
      <c r="K7" s="86">
        <v>0.56999999999999995</v>
      </c>
      <c r="L7" s="86">
        <v>0.62</v>
      </c>
      <c r="M7" s="86">
        <v>0.64</v>
      </c>
      <c r="N7" s="86">
        <v>0.66</v>
      </c>
      <c r="O7" s="86">
        <v>0.68</v>
      </c>
    </row>
    <row r="8" spans="2:18" ht="21.75" customHeight="1">
      <c r="B8" s="150" t="s">
        <v>56</v>
      </c>
      <c r="C8" s="151"/>
      <c r="D8" s="156"/>
      <c r="E8" s="9"/>
      <c r="F8" s="87">
        <f>IF(F3&lt;&gt;"",'Producer Info'!F14+'Cattle type'!H7+'Cattle type'!L7)</f>
        <v>40263</v>
      </c>
      <c r="G8" s="87">
        <f>IF(G3&lt;&gt;"",'Producer Info'!F14+'Cattle type'!H8+'Cattle type'!L8,"")</f>
        <v>40263</v>
      </c>
      <c r="H8" s="87">
        <f>IF(H3&lt;&gt;"",'Producer Info'!F14+'Cattle type'!H9+'Cattle type'!L9,"")</f>
        <v>40263</v>
      </c>
      <c r="I8" s="87">
        <f>IF(I3&lt;&gt;"",'Producer Info'!F14+'Cattle type'!H10+'Cattle type'!L10,"")</f>
        <v>40263</v>
      </c>
      <c r="J8" s="92">
        <f>IF(J3&lt;&gt;"",'Producer Info'!F14+'Cattle type'!H11+'Cattle type'!L11,"")</f>
        <v>40263</v>
      </c>
      <c r="K8" s="92">
        <f>IF(K3&lt;&gt;"",'Producer Info'!F14+'Cattle type'!H12+'Cattle type'!L12,"")</f>
        <v>40263</v>
      </c>
      <c r="L8" s="92">
        <f>IF(L3&lt;&gt;"",'Producer Info'!F14+'Cattle type'!H13+'Cattle type'!L13,"")</f>
        <v>40263</v>
      </c>
      <c r="M8" s="92">
        <f>IF(M3&lt;&gt;"",'Producer Info'!F14+'Cattle type'!H14+'Cattle type'!L14,"")</f>
        <v>40239</v>
      </c>
      <c r="N8" s="92">
        <f>IF(N3&lt;&gt;"",'Producer Info'!F14+'Cattle type'!H15+'Cattle type'!L15,"")</f>
        <v>40239</v>
      </c>
      <c r="O8" s="92">
        <f>IF(O3&lt;&gt;"",'Producer Info'!F14+'Cattle type'!H16+'Cattle type'!L16,"")</f>
        <v>40239</v>
      </c>
      <c r="Q8" s="71"/>
    </row>
    <row r="10" spans="2:18" ht="40.5" customHeight="1">
      <c r="B10" s="202" t="s">
        <v>54</v>
      </c>
      <c r="C10" s="203"/>
      <c r="D10" s="203"/>
      <c r="E10" s="203"/>
      <c r="F10" s="203"/>
      <c r="G10" s="203"/>
      <c r="H10" s="203"/>
      <c r="I10" s="204"/>
      <c r="J10" s="204"/>
      <c r="K10" s="204"/>
      <c r="L10" s="204"/>
      <c r="M10" s="204"/>
      <c r="N10" s="204"/>
      <c r="O10" s="204"/>
    </row>
    <row r="11" spans="2:18" ht="21">
      <c r="B11" s="198" t="s">
        <v>55</v>
      </c>
      <c r="C11" s="199"/>
      <c r="D11" s="199"/>
      <c r="E11" s="200"/>
      <c r="F11" s="85">
        <f>F3</f>
        <v>325</v>
      </c>
      <c r="G11" s="91">
        <f t="shared" ref="G11:O11" si="0">G3</f>
        <v>375</v>
      </c>
      <c r="H11" s="91">
        <f t="shared" si="0"/>
        <v>425</v>
      </c>
      <c r="I11" s="91">
        <f t="shared" si="0"/>
        <v>475</v>
      </c>
      <c r="J11" s="84">
        <f t="shared" si="0"/>
        <v>525</v>
      </c>
      <c r="K11" s="84">
        <f t="shared" si="0"/>
        <v>575</v>
      </c>
      <c r="L11" s="84">
        <f t="shared" si="0"/>
        <v>625</v>
      </c>
      <c r="M11" s="84">
        <f t="shared" si="0"/>
        <v>675</v>
      </c>
      <c r="N11" s="84">
        <f t="shared" si="0"/>
        <v>725</v>
      </c>
      <c r="O11" s="84">
        <f t="shared" si="0"/>
        <v>775</v>
      </c>
    </row>
    <row r="12" spans="2:18" ht="21">
      <c r="B12" s="198" t="s">
        <v>40</v>
      </c>
      <c r="C12" s="199"/>
      <c r="D12" s="199"/>
      <c r="E12" s="200"/>
      <c r="F12" s="11"/>
      <c r="G12" s="13"/>
      <c r="H12" s="13"/>
      <c r="I12" s="13"/>
      <c r="J12" s="13"/>
      <c r="K12" s="13"/>
      <c r="L12" s="13"/>
      <c r="M12" s="13"/>
      <c r="N12" s="13"/>
      <c r="O12" s="13"/>
      <c r="R12" s="72"/>
    </row>
    <row r="13" spans="2:18" ht="21">
      <c r="B13" s="205" t="s">
        <v>41</v>
      </c>
      <c r="C13" s="205"/>
      <c r="D13" s="205"/>
      <c r="E13" s="10" t="s">
        <v>42</v>
      </c>
      <c r="F13" s="88">
        <v>579</v>
      </c>
      <c r="G13" s="88">
        <v>639</v>
      </c>
      <c r="H13" s="88">
        <v>708</v>
      </c>
      <c r="I13" s="88">
        <v>768</v>
      </c>
      <c r="J13" s="88">
        <v>837</v>
      </c>
      <c r="K13" s="88">
        <v>887</v>
      </c>
      <c r="L13" s="88">
        <v>931.5</v>
      </c>
      <c r="M13" s="88">
        <v>940.7</v>
      </c>
      <c r="N13" s="88">
        <v>990.7</v>
      </c>
      <c r="O13" s="88">
        <v>1040.7</v>
      </c>
    </row>
    <row r="14" spans="2:18" ht="21">
      <c r="B14" s="205" t="s">
        <v>43</v>
      </c>
      <c r="C14" s="205"/>
      <c r="D14" s="205"/>
      <c r="E14" s="10" t="s">
        <v>31</v>
      </c>
      <c r="F14" s="86">
        <v>118.51480000000001</v>
      </c>
      <c r="G14" s="86">
        <v>111.9868</v>
      </c>
      <c r="H14" s="86">
        <v>104.236</v>
      </c>
      <c r="I14" s="86">
        <v>97.456000000000003</v>
      </c>
      <c r="J14" s="86">
        <v>89.659000000000006</v>
      </c>
      <c r="K14" s="86">
        <v>84.009</v>
      </c>
      <c r="L14" s="86">
        <v>78.980500000000006</v>
      </c>
      <c r="M14" s="86">
        <v>77.940899999999999</v>
      </c>
      <c r="N14" s="86">
        <v>72.290899999999993</v>
      </c>
      <c r="O14" s="86">
        <v>66.640900000000002</v>
      </c>
    </row>
    <row r="15" spans="2:18" ht="21">
      <c r="B15" s="201" t="s">
        <v>44</v>
      </c>
      <c r="C15" s="201"/>
      <c r="D15" s="201"/>
      <c r="E15" s="10" t="s">
        <v>32</v>
      </c>
      <c r="F15" s="90">
        <f>IF(F11&lt;&gt;"",F13*F14/100,"")</f>
        <v>686.200692</v>
      </c>
      <c r="G15" s="90">
        <f t="shared" ref="G15:O15" si="1">IF(G11&lt;&gt;"",G13*G14/100,"")</f>
        <v>715.59565199999997</v>
      </c>
      <c r="H15" s="90">
        <f t="shared" si="1"/>
        <v>737.99088000000006</v>
      </c>
      <c r="I15" s="90">
        <f t="shared" si="1"/>
        <v>748.46208000000001</v>
      </c>
      <c r="J15" s="90">
        <f t="shared" si="1"/>
        <v>750.44583</v>
      </c>
      <c r="K15" s="90">
        <f t="shared" si="1"/>
        <v>745.15983000000006</v>
      </c>
      <c r="L15" s="90">
        <f t="shared" si="1"/>
        <v>735.70335750000015</v>
      </c>
      <c r="M15" s="90">
        <f t="shared" si="1"/>
        <v>733.19004629999995</v>
      </c>
      <c r="N15" s="90">
        <f t="shared" si="1"/>
        <v>716.18594629999996</v>
      </c>
      <c r="O15" s="90">
        <f t="shared" si="1"/>
        <v>693.53184629999998</v>
      </c>
    </row>
    <row r="16" spans="2:18" ht="21">
      <c r="B16" s="169" t="s">
        <v>45</v>
      </c>
      <c r="C16" s="170"/>
      <c r="D16" s="170"/>
      <c r="E16" s="206"/>
      <c r="F16" s="12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21">
      <c r="B17" s="205" t="s">
        <v>46</v>
      </c>
      <c r="C17" s="205"/>
      <c r="D17" s="205"/>
      <c r="E17" s="10" t="s">
        <v>32</v>
      </c>
      <c r="F17" s="89">
        <f>IF(F11&lt;&gt;"",F11*'Cattle type'!F7/100,"")</f>
        <v>390</v>
      </c>
      <c r="G17" s="89">
        <f>IF(G11&lt;&gt;"",G11*'Cattle type'!F8/100,"")</f>
        <v>456.54327017716531</v>
      </c>
      <c r="H17" s="89">
        <f>IF(H11&lt;&gt;"",H11*'Cattle type'!F9/100,"")</f>
        <v>477.28984990157477</v>
      </c>
      <c r="I17" s="89">
        <f>IF(I11&lt;&gt;"",I11*'Cattle type'!F10/100,"")</f>
        <v>525.71433809055122</v>
      </c>
      <c r="J17" s="89">
        <f>IF(J11&lt;&gt;"",J11*'Cattle type'!F11/100,"")</f>
        <v>563.18543061023615</v>
      </c>
      <c r="K17" s="89">
        <f>IF(K11&lt;&gt;"",K11*'Cattle type'!F12/100,"")</f>
        <v>603.91010580708667</v>
      </c>
      <c r="L17" s="89">
        <f>IF(L11&lt;&gt;"",L11*'Cattle type'!F13/100,"")</f>
        <v>641.20404773622033</v>
      </c>
      <c r="M17" s="89">
        <f>IF(M11&lt;&gt;"",M11*'Cattle type'!F14/100,"")</f>
        <v>678.92589566929132</v>
      </c>
      <c r="N17" s="89">
        <f>IF(N11&lt;&gt;"",N11*'Cattle type'!F15/100,"")</f>
        <v>733.95610482283462</v>
      </c>
      <c r="O17" s="89">
        <f>IF(O11&lt;&gt;"",O11*'Cattle type'!F16/100,"")</f>
        <v>747.5243430118112</v>
      </c>
    </row>
    <row r="18" spans="2:15" ht="21">
      <c r="B18" s="205" t="s">
        <v>36</v>
      </c>
      <c r="C18" s="205"/>
      <c r="D18" s="205"/>
      <c r="E18" s="10" t="s">
        <v>32</v>
      </c>
      <c r="F18" s="89">
        <f>IF(F3&lt;&gt;"",F7*(F13-F11),"")</f>
        <v>114.3</v>
      </c>
      <c r="G18" s="89">
        <f t="shared" ref="G18:O18" si="2">IF(G3&lt;&gt;"",G7*(G13-G11),"")</f>
        <v>121.44000000000001</v>
      </c>
      <c r="H18" s="89">
        <f t="shared" si="2"/>
        <v>135.84</v>
      </c>
      <c r="I18" s="89">
        <f t="shared" si="2"/>
        <v>146.5</v>
      </c>
      <c r="J18" s="89">
        <f t="shared" si="2"/>
        <v>165.36</v>
      </c>
      <c r="K18" s="89">
        <f t="shared" si="2"/>
        <v>177.83999999999997</v>
      </c>
      <c r="L18" s="89">
        <f t="shared" si="2"/>
        <v>190.03</v>
      </c>
      <c r="M18" s="89">
        <f t="shared" si="2"/>
        <v>170.04800000000003</v>
      </c>
      <c r="N18" s="89">
        <f t="shared" si="2"/>
        <v>175.36200000000005</v>
      </c>
      <c r="O18" s="89">
        <f t="shared" si="2"/>
        <v>180.67600000000004</v>
      </c>
    </row>
    <row r="19" spans="2:15" ht="21">
      <c r="B19" s="205" t="s">
        <v>47</v>
      </c>
      <c r="C19" s="205"/>
      <c r="D19" s="205"/>
      <c r="E19" s="10" t="s">
        <v>32</v>
      </c>
      <c r="F19" s="89">
        <f>IF(F11&lt;&gt;"",(F4+F5+F6),"")</f>
        <v>33</v>
      </c>
      <c r="G19" s="89">
        <f t="shared" ref="G19:O19" si="3">IF(G11&lt;&gt;"",(G4+G5+G6),"")</f>
        <v>33</v>
      </c>
      <c r="H19" s="89">
        <f t="shared" si="3"/>
        <v>34</v>
      </c>
      <c r="I19" s="89">
        <f t="shared" si="3"/>
        <v>34</v>
      </c>
      <c r="J19" s="89">
        <f t="shared" si="3"/>
        <v>34</v>
      </c>
      <c r="K19" s="89">
        <f t="shared" si="3"/>
        <v>34</v>
      </c>
      <c r="L19" s="89">
        <f t="shared" si="3"/>
        <v>32.5</v>
      </c>
      <c r="M19" s="89">
        <f t="shared" si="3"/>
        <v>30.5</v>
      </c>
      <c r="N19" s="89">
        <f t="shared" si="3"/>
        <v>31</v>
      </c>
      <c r="O19" s="89">
        <f t="shared" si="3"/>
        <v>32</v>
      </c>
    </row>
    <row r="20" spans="2:15" ht="21">
      <c r="B20" s="205" t="s">
        <v>48</v>
      </c>
      <c r="C20" s="205"/>
      <c r="D20" s="205"/>
      <c r="E20" s="10" t="s">
        <v>32</v>
      </c>
      <c r="F20" s="89">
        <f>IF(F11&lt;&gt;"",(F17+F19/2+F18/2)*'Producer Info'!$F$15/365*('Cattle type'!H7+'Cattle type'!L7),"")</f>
        <v>11.051383561643837</v>
      </c>
      <c r="G20" s="89">
        <f>IF(G11&lt;&gt;"",(G17+G19/2+G18/2)*'Producer Info'!$F$15/365*('Cattle type'!H8+'Cattle type'!L8),"")</f>
        <v>12.722576576825583</v>
      </c>
      <c r="H20" s="89">
        <f>IF(H11&lt;&gt;"",(H17+H19/2+H18/2)*'Producer Info'!$F$15/365*('Cattle type'!H9+'Cattle type'!L9),"")</f>
        <v>13.400618340119728</v>
      </c>
      <c r="I20" s="89">
        <f>IF(I11&lt;&gt;"",(I17+I19/2+I18/2)*'Producer Info'!$F$15/365*('Cattle type'!H10+'Cattle type'!L10),"")</f>
        <v>14.681889702432317</v>
      </c>
      <c r="J20" s="89">
        <f>IF(J11&lt;&gt;"",(J17+J19/2+J18/2)*'Producer Info'!$F$15/365*('Cattle type'!H11+'Cattle type'!L11),"")</f>
        <v>15.799806154271383</v>
      </c>
      <c r="K20" s="89">
        <f>IF(K11&lt;&gt;"",(K17+K19/2+K18/2)*'Producer Info'!$F$15/365*('Cattle type'!H12+'Cattle type'!L12),"")</f>
        <v>16.919238138415491</v>
      </c>
      <c r="L20" s="89">
        <f>IF(L11&lt;&gt;"",(L17+L19/2+L18/2)*'Producer Info'!$F$15/365*('Cattle type'!H13+'Cattle type'!L13),"")</f>
        <v>17.935563603575662</v>
      </c>
      <c r="M20" s="89">
        <f>IF(M11&lt;&gt;"",(M17+M19/2+M18/2)*'Producer Info'!$F$15/365*('Cattle type'!H14+'Cattle type'!L14),"")</f>
        <v>15.498606143997412</v>
      </c>
      <c r="N20" s="89">
        <f>IF(N11&lt;&gt;"",(N17+N19/2+N18/2)*'Producer Info'!$F$15/365*('Cattle type'!H15+'Cattle type'!L15),"")</f>
        <v>16.651001043873368</v>
      </c>
      <c r="O20" s="89">
        <f>IF(O11&lt;&gt;"",(O17+O19/2+O18/2)*'Producer Info'!$F$15/365*('Cattle type'!H16+'Cattle type'!L16),"")</f>
        <v>16.983672904837668</v>
      </c>
    </row>
    <row r="21" spans="2:15" ht="21">
      <c r="B21" s="201" t="s">
        <v>49</v>
      </c>
      <c r="C21" s="201"/>
      <c r="D21" s="201"/>
      <c r="E21" s="10" t="s">
        <v>32</v>
      </c>
      <c r="F21" s="90">
        <f>IF(F11&lt;&gt;"",SUM(F17:F20),"")</f>
        <v>548.35138356164384</v>
      </c>
      <c r="G21" s="90">
        <f t="shared" ref="G21:O21" si="4">IF(G11&lt;&gt;"",SUM(G17:G20),"")</f>
        <v>623.70584675399084</v>
      </c>
      <c r="H21" s="90">
        <f t="shared" si="4"/>
        <v>660.53046824169451</v>
      </c>
      <c r="I21" s="90">
        <f t="shared" si="4"/>
        <v>720.8962277929835</v>
      </c>
      <c r="J21" s="90">
        <f t="shared" si="4"/>
        <v>778.3452367645076</v>
      </c>
      <c r="K21" s="90">
        <f t="shared" si="4"/>
        <v>832.66934394550208</v>
      </c>
      <c r="L21" s="90">
        <f t="shared" si="4"/>
        <v>881.66961133979601</v>
      </c>
      <c r="M21" s="90">
        <f t="shared" si="4"/>
        <v>894.97250181328877</v>
      </c>
      <c r="N21" s="90">
        <f t="shared" si="4"/>
        <v>956.96910586670811</v>
      </c>
      <c r="O21" s="90">
        <f t="shared" si="4"/>
        <v>977.18401591664895</v>
      </c>
    </row>
    <row r="22" spans="2:15" ht="21">
      <c r="B22" s="201" t="s">
        <v>50</v>
      </c>
      <c r="C22" s="201"/>
      <c r="D22" s="201"/>
      <c r="E22" s="10" t="s">
        <v>32</v>
      </c>
      <c r="F22" s="90">
        <f>IF(F11&lt;&gt;"",F15-F21,"")</f>
        <v>137.84930843835616</v>
      </c>
      <c r="G22" s="90">
        <f t="shared" ref="G22:O22" si="5">IF(G11&lt;&gt;"",G15-G21,"")</f>
        <v>91.889805246009132</v>
      </c>
      <c r="H22" s="90">
        <f t="shared" si="5"/>
        <v>77.460411758305554</v>
      </c>
      <c r="I22" s="90">
        <f t="shared" si="5"/>
        <v>27.565852207016519</v>
      </c>
      <c r="J22" s="90">
        <f t="shared" si="5"/>
        <v>-27.899406764507603</v>
      </c>
      <c r="K22" s="90">
        <f t="shared" si="5"/>
        <v>-87.509513945502022</v>
      </c>
      <c r="L22" s="90">
        <f t="shared" si="5"/>
        <v>-145.96625383979585</v>
      </c>
      <c r="M22" s="90">
        <f t="shared" si="5"/>
        <v>-161.78245551328882</v>
      </c>
      <c r="N22" s="90">
        <f t="shared" si="5"/>
        <v>-240.78315956670815</v>
      </c>
      <c r="O22" s="90">
        <f t="shared" si="5"/>
        <v>-283.65216961664896</v>
      </c>
    </row>
    <row r="23" spans="2:15" ht="39" customHeight="1">
      <c r="B23" s="207" t="s">
        <v>181</v>
      </c>
      <c r="C23" s="208"/>
      <c r="D23" s="209"/>
      <c r="E23" s="10" t="s">
        <v>32</v>
      </c>
      <c r="F23" s="90">
        <f>IF(F11&lt;&gt;"",F15*(1-'Cattle type'!$P7)-F21,"")</f>
        <v>124.12529459835616</v>
      </c>
      <c r="G23" s="90">
        <f>IF(G11&lt;&gt;"",G15*(1-'Cattle type'!$P8)-G21,"")</f>
        <v>77.577892206009096</v>
      </c>
      <c r="H23" s="90">
        <f>IF(H11&lt;&gt;"",H15*(1-'Cattle type'!$P9)-H21,"")</f>
        <v>63.438585038305519</v>
      </c>
      <c r="I23" s="90">
        <f>IF(I11&lt;&gt;"",I15*(1-'Cattle type'!$P10)-I21,"")</f>
        <v>13.345072687016454</v>
      </c>
      <c r="J23" s="90">
        <f>IF(J11&lt;&gt;"",J15*(1-'Cattle type'!$P11)-J21,"")</f>
        <v>-41.407431704507644</v>
      </c>
      <c r="K23" s="90">
        <f>IF(K11&lt;&gt;"",K15*(1-'Cattle type'!$P12)-K21,"")</f>
        <v>-100.17723105550203</v>
      </c>
      <c r="L23" s="90">
        <f>IF(L11&lt;&gt;"",L15*(1-'Cattle type'!$P13)-L21,"")</f>
        <v>-157.73750755979586</v>
      </c>
      <c r="M23" s="90">
        <f>IF(M11&lt;&gt;"",M15*(1-'Cattle type'!$P14)-M21,"")</f>
        <v>-172.04711616148882</v>
      </c>
      <c r="N23" s="90">
        <f>IF(N11&lt;&gt;"",N15*(1-'Cattle type'!$P15)-N21,"")</f>
        <v>-249.37739092230811</v>
      </c>
      <c r="O23" s="90">
        <f>IF(O11&lt;&gt;"",O15*(1-'Cattle type'!$P16)-O21,"")</f>
        <v>-290.58748807964901</v>
      </c>
    </row>
    <row r="24" spans="2:15" ht="21">
      <c r="B24" s="201" t="s">
        <v>51</v>
      </c>
      <c r="C24" s="201"/>
      <c r="D24" s="201"/>
      <c r="E24" s="10" t="s">
        <v>31</v>
      </c>
      <c r="F24" s="90">
        <f>IF(F11&lt;&gt;"",F21/F13/(1-'Cattle type'!$P7)*100,"")</f>
        <v>96.639417638018372</v>
      </c>
      <c r="G24" s="90">
        <f>IF(G11&lt;&gt;"",G21/G13/(1-'Cattle type'!$P8)*100,"")</f>
        <v>99.59851917121631</v>
      </c>
      <c r="H24" s="90">
        <f>IF(H11&lt;&gt;"",H21/H13/(1-'Cattle type'!$P9)*100,"")</f>
        <v>95.102205785877231</v>
      </c>
      <c r="I24" s="90">
        <f>IF(I11&lt;&gt;"",I21/I13/(1-'Cattle type'!$P10)*100,"")</f>
        <v>95.684705736199177</v>
      </c>
      <c r="J24" s="90">
        <f>IF(J11&lt;&gt;"",J21/J13/(1-'Cattle type'!$P11)*100,"")</f>
        <v>94.696804945957652</v>
      </c>
      <c r="K24" s="90">
        <f>IF(K11&lt;&gt;"",K21/K13/(1-'Cattle type'!$P12)*100,"")</f>
        <v>95.498255454966909</v>
      </c>
      <c r="L24" s="90">
        <f>IF(L11&lt;&gt;"",L21/L13/(1-'Cattle type'!$P13)*100,"")</f>
        <v>96.189554759108262</v>
      </c>
      <c r="M24" s="90">
        <f>IF(M11&lt;&gt;"",M21/M13/(1-'Cattle type'!$P14)*100,"")</f>
        <v>96.489850337303167</v>
      </c>
      <c r="N24" s="90">
        <f>IF(N11&lt;&gt;"",N21/N13/(1-'Cattle type'!$P15)*100,"")</f>
        <v>97.768467993913035</v>
      </c>
      <c r="O24" s="90">
        <f>IF(O11&lt;&gt;"",O21/O13/(1-'Cattle type'!$P16)*100,"")</f>
        <v>94.845254303062219</v>
      </c>
    </row>
    <row r="25" spans="2:15" ht="21">
      <c r="B25" s="201" t="s">
        <v>52</v>
      </c>
      <c r="C25" s="201"/>
      <c r="D25" s="201"/>
      <c r="E25" s="10" t="s">
        <v>53</v>
      </c>
      <c r="F25" s="90">
        <f>IF(F11&lt;&gt;"",F23/'Cattle type'!R7,"")</f>
        <v>155.1566182479452</v>
      </c>
      <c r="G25" s="90">
        <f>IF(G11&lt;&gt;"",G23/'Cattle type'!R8,"")</f>
        <v>110.82556029429871</v>
      </c>
      <c r="H25" s="90">
        <f>IF(H11&lt;&gt;"",H23/'Cattle type'!R9,"")</f>
        <v>105.73097506384254</v>
      </c>
      <c r="I25" s="90">
        <f>IF(I11&lt;&gt;"",I23/'Cattle type'!R10,"")</f>
        <v>26.690145374032909</v>
      </c>
      <c r="J25" s="90">
        <f>IF(J11&lt;&gt;"",J23/'Cattle type'!R11,"")</f>
        <v>-82.814863409015288</v>
      </c>
      <c r="K25" s="90">
        <f>IF(K11&lt;&gt;"",K23/'Cattle type'!R12,"")</f>
        <v>-250.44307763875508</v>
      </c>
      <c r="L25" s="90">
        <f>IF(L11&lt;&gt;"",L22/'Cattle type'!R13,"")</f>
        <v>-364.91563459948964</v>
      </c>
      <c r="M25" s="90">
        <f>IF(M11&lt;&gt;"",M22/'Cattle type'!R14,"")</f>
        <v>-404.45613878322206</v>
      </c>
      <c r="N25" s="90">
        <f>IF(N11&lt;&gt;"",N22/'Cattle type'!R15,"")</f>
        <v>-802.61053188902724</v>
      </c>
      <c r="O25" s="90">
        <f>IF(O11&lt;&gt;"",O22/'Cattle type'!R16,"")</f>
        <v>-945.50723205549662</v>
      </c>
    </row>
  </sheetData>
  <mergeCells count="23">
    <mergeCell ref="B23:D23"/>
    <mergeCell ref="B4:D4"/>
    <mergeCell ref="B5:D5"/>
    <mergeCell ref="B6:D6"/>
    <mergeCell ref="B7:D7"/>
    <mergeCell ref="B14:D14"/>
    <mergeCell ref="B12:E12"/>
    <mergeCell ref="F2:O2"/>
    <mergeCell ref="B3:E3"/>
    <mergeCell ref="B8:D8"/>
    <mergeCell ref="B25:D25"/>
    <mergeCell ref="B10:O10"/>
    <mergeCell ref="B11:E11"/>
    <mergeCell ref="B22:D22"/>
    <mergeCell ref="B24:D24"/>
    <mergeCell ref="B20:D20"/>
    <mergeCell ref="B21:D21"/>
    <mergeCell ref="B18:D18"/>
    <mergeCell ref="B19:D19"/>
    <mergeCell ref="B16:E16"/>
    <mergeCell ref="B17:D17"/>
    <mergeCell ref="B15:D15"/>
    <mergeCell ref="B13:D13"/>
  </mergeCells>
  <dataValidations count="3">
    <dataValidation allowBlank="1" showInputMessage="1" showErrorMessage="1" prompt="Press ctrl+t to generate cost of gain using detailed information." sqref="F7:O7" xr:uid="{00000000-0002-0000-0200-000000000000}"/>
    <dataValidation allowBlank="1" showInputMessage="1" showErrorMessage="1" prompt="Press ctrl-r to copy the current cell's value to the right." sqref="F4:O6" xr:uid="{00000000-0002-0000-0200-000001000000}"/>
    <dataValidation allowBlank="1" showInputMessage="1" showErrorMessage="1" prompt="Press ctrl+t to generate expected sales prices using current futures and historical basis." sqref="F14:O14" xr:uid="{00000000-0002-0000-0200-000002000000}"/>
  </dataValidation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2:Q28"/>
  <sheetViews>
    <sheetView workbookViewId="0">
      <selection activeCell="H5" sqref="H5"/>
    </sheetView>
  </sheetViews>
  <sheetFormatPr defaultRowHeight="14.4"/>
  <cols>
    <col min="1" max="1" width="4" customWidth="1"/>
    <col min="8" max="8" width="11" customWidth="1"/>
    <col min="9" max="17" width="10.5546875" customWidth="1"/>
  </cols>
  <sheetData>
    <row r="2" spans="2:17" ht="18">
      <c r="B2" s="229" t="s">
        <v>183</v>
      </c>
      <c r="C2" s="229"/>
      <c r="D2" s="229"/>
      <c r="E2" s="229"/>
      <c r="F2" s="229"/>
      <c r="G2" s="229"/>
      <c r="H2" s="227" t="s">
        <v>8</v>
      </c>
      <c r="I2" s="227"/>
      <c r="J2" s="227"/>
      <c r="K2" s="227"/>
      <c r="L2" s="227"/>
      <c r="M2" s="227"/>
      <c r="N2" s="227"/>
      <c r="O2" s="227"/>
      <c r="P2" s="227"/>
      <c r="Q2" s="227"/>
    </row>
    <row r="3" spans="2:17" ht="18">
      <c r="B3" s="231"/>
      <c r="C3" s="232"/>
      <c r="D3" s="232"/>
      <c r="E3" s="232"/>
      <c r="F3" s="233"/>
      <c r="G3" s="234"/>
      <c r="H3" s="104">
        <v>325</v>
      </c>
      <c r="I3" s="111">
        <v>375</v>
      </c>
      <c r="J3" s="111">
        <v>425</v>
      </c>
      <c r="K3" s="111">
        <v>475</v>
      </c>
      <c r="L3" s="111">
        <v>525</v>
      </c>
      <c r="M3" s="111">
        <v>575</v>
      </c>
      <c r="N3" s="111">
        <v>625</v>
      </c>
      <c r="O3" s="111">
        <v>675</v>
      </c>
      <c r="P3" s="111">
        <v>725</v>
      </c>
      <c r="Q3" s="111">
        <v>775</v>
      </c>
    </row>
    <row r="4" spans="2:17" ht="18">
      <c r="B4" s="230" t="s">
        <v>21</v>
      </c>
      <c r="C4" s="230"/>
      <c r="D4" s="230"/>
      <c r="E4" s="230"/>
      <c r="F4" s="230"/>
      <c r="G4" s="230"/>
      <c r="H4" s="106" t="s">
        <v>20</v>
      </c>
      <c r="I4" s="111" t="s">
        <v>20</v>
      </c>
      <c r="J4" s="111" t="s">
        <v>20</v>
      </c>
      <c r="K4" s="111" t="s">
        <v>20</v>
      </c>
      <c r="L4" s="111" t="s">
        <v>20</v>
      </c>
      <c r="M4" s="111" t="s">
        <v>20</v>
      </c>
      <c r="N4" s="111" t="s">
        <v>20</v>
      </c>
      <c r="O4" s="111" t="s">
        <v>20</v>
      </c>
      <c r="P4" s="111" t="s">
        <v>20</v>
      </c>
      <c r="Q4" s="111" t="s">
        <v>20</v>
      </c>
    </row>
    <row r="5" spans="2:17" ht="18">
      <c r="B5" s="210" t="s">
        <v>71</v>
      </c>
      <c r="C5" s="215"/>
      <c r="D5" s="15" t="s">
        <v>72</v>
      </c>
      <c r="E5" s="16">
        <v>80</v>
      </c>
      <c r="F5" s="216" t="s">
        <v>81</v>
      </c>
      <c r="G5" s="217"/>
      <c r="H5" s="109">
        <v>15</v>
      </c>
      <c r="I5" s="115">
        <v>15</v>
      </c>
      <c r="J5" s="115">
        <v>15</v>
      </c>
      <c r="K5" s="115">
        <v>15</v>
      </c>
      <c r="L5" s="119">
        <v>15</v>
      </c>
      <c r="M5" s="119">
        <v>15</v>
      </c>
      <c r="N5" s="119">
        <v>15</v>
      </c>
      <c r="O5" s="119">
        <v>15</v>
      </c>
      <c r="P5" s="119">
        <v>15</v>
      </c>
      <c r="Q5" s="119">
        <v>15</v>
      </c>
    </row>
    <row r="6" spans="2:17" ht="18">
      <c r="B6" s="210" t="s">
        <v>73</v>
      </c>
      <c r="C6" s="215"/>
      <c r="D6" s="15" t="s">
        <v>72</v>
      </c>
      <c r="E6" s="16">
        <v>400</v>
      </c>
      <c r="F6" s="216" t="s">
        <v>81</v>
      </c>
      <c r="G6" s="217"/>
      <c r="H6" s="109">
        <v>1</v>
      </c>
      <c r="I6" s="115">
        <v>1</v>
      </c>
      <c r="J6" s="115">
        <v>1</v>
      </c>
      <c r="K6" s="115">
        <v>1</v>
      </c>
      <c r="L6" s="119">
        <v>1</v>
      </c>
      <c r="M6" s="119">
        <v>1</v>
      </c>
      <c r="N6" s="119">
        <v>1</v>
      </c>
      <c r="O6" s="119">
        <v>1</v>
      </c>
      <c r="P6" s="119">
        <v>1</v>
      </c>
      <c r="Q6" s="119">
        <v>1</v>
      </c>
    </row>
    <row r="7" spans="2:17" ht="18">
      <c r="B7" s="210" t="s">
        <v>75</v>
      </c>
      <c r="C7" s="215"/>
      <c r="D7" s="15" t="s">
        <v>72</v>
      </c>
      <c r="E7" s="16">
        <v>300</v>
      </c>
      <c r="F7" s="216" t="s">
        <v>82</v>
      </c>
      <c r="G7" s="217"/>
      <c r="H7" s="109">
        <v>4</v>
      </c>
      <c r="I7" s="115">
        <v>4</v>
      </c>
      <c r="J7" s="115">
        <v>4</v>
      </c>
      <c r="K7" s="115">
        <v>4</v>
      </c>
      <c r="L7" s="119">
        <v>4</v>
      </c>
      <c r="M7" s="119">
        <v>4</v>
      </c>
      <c r="N7" s="119">
        <v>4</v>
      </c>
      <c r="O7" s="119">
        <v>4</v>
      </c>
      <c r="P7" s="119">
        <v>4</v>
      </c>
      <c r="Q7" s="119">
        <v>4</v>
      </c>
    </row>
    <row r="8" spans="2:17" ht="18">
      <c r="B8" s="210" t="s">
        <v>78</v>
      </c>
      <c r="C8" s="211"/>
      <c r="D8" s="211"/>
      <c r="E8" s="215"/>
      <c r="F8" s="218" t="s">
        <v>32</v>
      </c>
      <c r="G8" s="218"/>
      <c r="H8" s="107">
        <f>IF(H$3&lt;&gt;"",(H5*$E$5/2000+'Steer cost of gain'!H6*'Steer cost of gain'!$E$6/2000+'Steer cost of gain'!H7*'Steer cost of gain'!$E$7/2000/128)*'Cattle type'!$H$7)</f>
        <v>36.2109375</v>
      </c>
      <c r="I8" s="113">
        <f>IF(I$3&lt;&gt;"",(I5*$E$5/2000+'Steer cost of gain'!I6*'Steer cost of gain'!$E$6/2000+'Steer cost of gain'!I7*'Steer cost of gain'!$E$7/2000/128)*'Cattle type'!$H$8)</f>
        <v>36.2109375</v>
      </c>
      <c r="J8" s="113">
        <f>IF(J$3&lt;&gt;"",(J5*$E$5/2000+'Steer cost of gain'!J6*'Steer cost of gain'!$E$6/2000+'Steer cost of gain'!J7*'Steer cost of gain'!$E$7/2000/128)*'Cattle type'!$H$9)</f>
        <v>36.2109375</v>
      </c>
      <c r="K8" s="113">
        <f>IF(K$3&lt;&gt;"",(K5*$E$5/2000+'Steer cost of gain'!K6*'Steer cost of gain'!$E$6/2000+'Steer cost of gain'!K7*'Steer cost of gain'!$E$7/2000/128)*'Cattle type'!$H$10)</f>
        <v>36.2109375</v>
      </c>
      <c r="L8" s="117">
        <f>IF(L$3&lt;&gt;"",(L5*$E$5/2000+'Steer cost of gain'!L6*'Steer cost of gain'!$E$6/2000+'Steer cost of gain'!L7*'Steer cost of gain'!$E$7/2000/128)*'Cattle type'!$H$11)</f>
        <v>36.2109375</v>
      </c>
      <c r="M8" s="117">
        <f>IF(M$3&lt;&gt;"",(M5*$E$5/2000+'Steer cost of gain'!M6*'Steer cost of gain'!$E$6/2000+'Steer cost of gain'!M7*'Steer cost of gain'!$E$7/2000/128)*'Cattle type'!$H$12)</f>
        <v>36.2109375</v>
      </c>
      <c r="N8" s="117">
        <f>IF(N$3&lt;&gt;"",(N5*$E$5/2000+'Steer cost of gain'!N6*'Steer cost of gain'!$E$6/2000+'Steer cost of gain'!N7*'Steer cost of gain'!$E$7/2000/128)*'Cattle type'!$H$13)</f>
        <v>36.2109375</v>
      </c>
      <c r="O8" s="117">
        <f>IF(O$3&lt;&gt;"",(O5*$E$5/2000+'Steer cost of gain'!O6*'Steer cost of gain'!$E$6/2000+'Steer cost of gain'!O7*'Steer cost of gain'!$E$7/2000/128)*'Cattle type'!$H$14)</f>
        <v>16.8984375</v>
      </c>
      <c r="P8" s="117">
        <f>IF(P$3&lt;&gt;"",(P5*$E$5/2000+'Steer cost of gain'!P6*'Steer cost of gain'!$E$6/2000+'Steer cost of gain'!P7*'Steer cost of gain'!$E$7/2000/128)*'Cattle type'!$H$15)</f>
        <v>16.8984375</v>
      </c>
      <c r="Q8" s="117">
        <f>IF(Q$3&lt;&gt;"",(Q5*$E$5/2000+'Steer cost of gain'!Q6*'Steer cost of gain'!$E$6/2000+'Steer cost of gain'!Q7*'Steer cost of gain'!$E$7/2000/128)*'Cattle type'!$H$16)</f>
        <v>16.8984375</v>
      </c>
    </row>
    <row r="9" spans="2:17" ht="18">
      <c r="B9" s="220" t="s">
        <v>22</v>
      </c>
      <c r="C9" s="220"/>
      <c r="D9" s="220"/>
      <c r="E9" s="220"/>
      <c r="F9" s="220"/>
      <c r="G9" s="220"/>
      <c r="H9" s="110">
        <v>2</v>
      </c>
      <c r="I9" s="116">
        <v>2</v>
      </c>
      <c r="J9" s="116">
        <v>2</v>
      </c>
      <c r="K9" s="116">
        <v>2</v>
      </c>
      <c r="L9" s="120">
        <v>2</v>
      </c>
      <c r="M9" s="120">
        <v>2</v>
      </c>
      <c r="N9" s="120">
        <v>2</v>
      </c>
      <c r="O9" s="120">
        <v>2</v>
      </c>
      <c r="P9" s="120">
        <v>2</v>
      </c>
      <c r="Q9" s="120">
        <v>2</v>
      </c>
    </row>
    <row r="10" spans="2:17" ht="18">
      <c r="B10" s="220" t="s">
        <v>23</v>
      </c>
      <c r="C10" s="220"/>
      <c r="D10" s="220"/>
      <c r="E10" s="220"/>
      <c r="F10" s="220"/>
      <c r="G10" s="220"/>
      <c r="H10" s="110">
        <v>0.25</v>
      </c>
      <c r="I10" s="116">
        <v>0.25</v>
      </c>
      <c r="J10" s="116">
        <v>0.25</v>
      </c>
      <c r="K10" s="116">
        <v>0.25</v>
      </c>
      <c r="L10" s="120">
        <v>0.25</v>
      </c>
      <c r="M10" s="120">
        <v>0.25</v>
      </c>
      <c r="N10" s="120">
        <v>0.25</v>
      </c>
      <c r="O10" s="120">
        <v>0.25</v>
      </c>
      <c r="P10" s="120">
        <v>0.25</v>
      </c>
      <c r="Q10" s="120">
        <v>0.25</v>
      </c>
    </row>
    <row r="11" spans="2:17" ht="18">
      <c r="B11" s="221" t="s">
        <v>24</v>
      </c>
      <c r="C11" s="221"/>
      <c r="D11" s="221"/>
      <c r="E11" s="221"/>
      <c r="F11" s="221"/>
      <c r="G11" s="221"/>
      <c r="H11" s="107">
        <f>IF(H$3&lt;&gt;"",SUM(H8:H10),"")</f>
        <v>38.4609375</v>
      </c>
      <c r="I11" s="107">
        <f t="shared" ref="I11:Q11" si="0">IF(I$3&lt;&gt;"",SUM(I8:I10),"")</f>
        <v>38.4609375</v>
      </c>
      <c r="J11" s="107">
        <f t="shared" si="0"/>
        <v>38.4609375</v>
      </c>
      <c r="K11" s="107">
        <f t="shared" si="0"/>
        <v>38.4609375</v>
      </c>
      <c r="L11" s="117">
        <f t="shared" si="0"/>
        <v>38.4609375</v>
      </c>
      <c r="M11" s="117">
        <f t="shared" si="0"/>
        <v>38.4609375</v>
      </c>
      <c r="N11" s="117">
        <f t="shared" si="0"/>
        <v>38.4609375</v>
      </c>
      <c r="O11" s="117">
        <f t="shared" si="0"/>
        <v>19.1484375</v>
      </c>
      <c r="P11" s="117">
        <f t="shared" si="0"/>
        <v>19.1484375</v>
      </c>
      <c r="Q11" s="117">
        <f t="shared" si="0"/>
        <v>19.1484375</v>
      </c>
    </row>
    <row r="12" spans="2:17" ht="18">
      <c r="B12" s="228" t="s">
        <v>57</v>
      </c>
      <c r="C12" s="228"/>
      <c r="D12" s="228"/>
      <c r="E12" s="228"/>
      <c r="F12" s="228"/>
      <c r="G12" s="228"/>
      <c r="H12" s="19">
        <v>0</v>
      </c>
      <c r="I12" s="20">
        <v>0</v>
      </c>
      <c r="J12" s="20">
        <v>0</v>
      </c>
      <c r="K12" s="20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2:17" ht="18">
      <c r="B13" s="210" t="s">
        <v>77</v>
      </c>
      <c r="C13" s="211"/>
      <c r="D13" s="212" t="s">
        <v>80</v>
      </c>
      <c r="E13" s="212"/>
      <c r="F13" s="213">
        <v>7</v>
      </c>
      <c r="G13" s="214"/>
      <c r="H13" s="107">
        <v>31.640000000000004</v>
      </c>
      <c r="I13" s="113">
        <v>35.49</v>
      </c>
      <c r="J13" s="113">
        <v>39.655000000000001</v>
      </c>
      <c r="K13" s="113">
        <v>43.505000000000003</v>
      </c>
      <c r="L13" s="117">
        <v>47.67</v>
      </c>
      <c r="M13" s="117">
        <v>51.17</v>
      </c>
      <c r="N13" s="117">
        <v>54.477500000000006</v>
      </c>
      <c r="O13" s="117">
        <v>56.549500000000009</v>
      </c>
      <c r="P13" s="117">
        <v>60.049500000000009</v>
      </c>
      <c r="Q13" s="117">
        <v>63.549500000000009</v>
      </c>
    </row>
    <row r="14" spans="2:17" ht="18">
      <c r="B14" s="210" t="s">
        <v>73</v>
      </c>
      <c r="C14" s="215"/>
      <c r="D14" s="15" t="s">
        <v>72</v>
      </c>
      <c r="E14" s="16">
        <v>400</v>
      </c>
      <c r="F14" s="216" t="s">
        <v>82</v>
      </c>
      <c r="G14" s="217"/>
      <c r="H14" s="109">
        <v>0</v>
      </c>
      <c r="I14" s="115">
        <v>0</v>
      </c>
      <c r="J14" s="115">
        <v>0</v>
      </c>
      <c r="K14" s="115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</row>
    <row r="15" spans="2:17" ht="18">
      <c r="B15" s="210" t="s">
        <v>75</v>
      </c>
      <c r="C15" s="215"/>
      <c r="D15" s="15" t="s">
        <v>72</v>
      </c>
      <c r="E15" s="16">
        <v>300</v>
      </c>
      <c r="F15" s="216" t="s">
        <v>74</v>
      </c>
      <c r="G15" s="217"/>
      <c r="H15" s="109">
        <v>4</v>
      </c>
      <c r="I15" s="115">
        <v>4</v>
      </c>
      <c r="J15" s="115">
        <v>4</v>
      </c>
      <c r="K15" s="115">
        <v>4</v>
      </c>
      <c r="L15" s="119">
        <v>4</v>
      </c>
      <c r="M15" s="119">
        <v>4</v>
      </c>
      <c r="N15" s="119">
        <v>4</v>
      </c>
      <c r="O15" s="119">
        <v>4</v>
      </c>
      <c r="P15" s="119">
        <v>4</v>
      </c>
      <c r="Q15" s="119">
        <v>4</v>
      </c>
    </row>
    <row r="16" spans="2:17" ht="18">
      <c r="B16" s="210" t="s">
        <v>79</v>
      </c>
      <c r="C16" s="211"/>
      <c r="D16" s="211"/>
      <c r="E16" s="215"/>
      <c r="F16" s="218" t="s">
        <v>32</v>
      </c>
      <c r="G16" s="218"/>
      <c r="H16" s="107">
        <f>IF(H3&lt;&gt;"",$E$14*H14/2000*H28+H15*$E$15/2000/128*H28+H13,"")</f>
        <v>32.108750000000001</v>
      </c>
      <c r="I16" s="107">
        <f t="shared" ref="I16:Q16" si="1">IF(I3&lt;&gt;"",$E$14*I14/2000*I28+I15*$E$15/2000/128*I28+I13,"")</f>
        <v>35.958750000000002</v>
      </c>
      <c r="J16" s="107">
        <f t="shared" si="1"/>
        <v>40.123750000000001</v>
      </c>
      <c r="K16" s="107">
        <f t="shared" si="1"/>
        <v>43.973750000000003</v>
      </c>
      <c r="L16" s="117">
        <f t="shared" si="1"/>
        <v>48.138750000000002</v>
      </c>
      <c r="M16" s="117">
        <f t="shared" si="1"/>
        <v>51.638750000000002</v>
      </c>
      <c r="N16" s="117">
        <f t="shared" si="1"/>
        <v>54.946250000000006</v>
      </c>
      <c r="O16" s="117">
        <f t="shared" si="1"/>
        <v>57.018250000000009</v>
      </c>
      <c r="P16" s="117">
        <f t="shared" si="1"/>
        <v>60.518250000000009</v>
      </c>
      <c r="Q16" s="117">
        <f t="shared" si="1"/>
        <v>64.018250000000009</v>
      </c>
    </row>
    <row r="17" spans="2:17" ht="18">
      <c r="B17" s="220" t="s">
        <v>25</v>
      </c>
      <c r="C17" s="220"/>
      <c r="D17" s="220"/>
      <c r="E17" s="220"/>
      <c r="F17" s="220"/>
      <c r="G17" s="220"/>
      <c r="H17" s="110">
        <v>1.25</v>
      </c>
      <c r="I17" s="116">
        <v>1.25</v>
      </c>
      <c r="J17" s="116">
        <v>1.25</v>
      </c>
      <c r="K17" s="116">
        <v>1.25</v>
      </c>
      <c r="L17" s="120">
        <v>1.25</v>
      </c>
      <c r="M17" s="120">
        <v>1.25</v>
      </c>
      <c r="N17" s="120">
        <v>1.25</v>
      </c>
      <c r="O17" s="120">
        <v>1.25</v>
      </c>
      <c r="P17" s="120">
        <v>1.25</v>
      </c>
      <c r="Q17" s="120">
        <v>1.25</v>
      </c>
    </row>
    <row r="18" spans="2:17" ht="18">
      <c r="B18" s="220" t="s">
        <v>26</v>
      </c>
      <c r="C18" s="220"/>
      <c r="D18" s="220"/>
      <c r="E18" s="220"/>
      <c r="F18" s="220"/>
      <c r="G18" s="220"/>
      <c r="H18" s="110">
        <v>0</v>
      </c>
      <c r="I18" s="116">
        <v>0</v>
      </c>
      <c r="J18" s="116">
        <v>0</v>
      </c>
      <c r="K18" s="116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</row>
    <row r="19" spans="2:17" ht="18">
      <c r="B19" s="220" t="s">
        <v>27</v>
      </c>
      <c r="C19" s="220"/>
      <c r="D19" s="220"/>
      <c r="E19" s="220"/>
      <c r="F19" s="220"/>
      <c r="G19" s="220"/>
      <c r="H19" s="110">
        <v>0.1</v>
      </c>
      <c r="I19" s="116">
        <v>0.1</v>
      </c>
      <c r="J19" s="116">
        <v>0.1</v>
      </c>
      <c r="K19" s="116">
        <v>0.1</v>
      </c>
      <c r="L19" s="120">
        <v>0.1</v>
      </c>
      <c r="M19" s="120">
        <v>0.1</v>
      </c>
      <c r="N19" s="120">
        <v>0.1</v>
      </c>
      <c r="O19" s="120">
        <v>0.1</v>
      </c>
      <c r="P19" s="120">
        <v>0.1</v>
      </c>
      <c r="Q19" s="120">
        <v>0.1</v>
      </c>
    </row>
    <row r="20" spans="2:17" ht="18">
      <c r="B20" s="220" t="s">
        <v>28</v>
      </c>
      <c r="C20" s="220"/>
      <c r="D20" s="220"/>
      <c r="E20" s="220"/>
      <c r="F20" s="220"/>
      <c r="G20" s="220"/>
      <c r="H20" s="110">
        <v>3</v>
      </c>
      <c r="I20" s="116">
        <v>3</v>
      </c>
      <c r="J20" s="116">
        <v>3</v>
      </c>
      <c r="K20" s="116">
        <v>3</v>
      </c>
      <c r="L20" s="120">
        <v>3</v>
      </c>
      <c r="M20" s="120">
        <v>3</v>
      </c>
      <c r="N20" s="120">
        <v>3</v>
      </c>
      <c r="O20" s="120">
        <v>3</v>
      </c>
      <c r="P20" s="120">
        <v>3</v>
      </c>
      <c r="Q20" s="120">
        <v>3</v>
      </c>
    </row>
    <row r="21" spans="2:17" ht="18">
      <c r="B21" s="220" t="s">
        <v>29</v>
      </c>
      <c r="C21" s="220"/>
      <c r="D21" s="220"/>
      <c r="E21" s="220"/>
      <c r="F21" s="220"/>
      <c r="G21" s="220"/>
      <c r="H21" s="110"/>
      <c r="I21" s="116"/>
      <c r="J21" s="116"/>
      <c r="K21" s="116"/>
      <c r="L21" s="120"/>
      <c r="M21" s="120"/>
      <c r="N21" s="120"/>
      <c r="O21" s="120"/>
      <c r="P21" s="120"/>
      <c r="Q21" s="120"/>
    </row>
    <row r="22" spans="2:17" ht="18">
      <c r="B22" s="220" t="s">
        <v>30</v>
      </c>
      <c r="C22" s="220"/>
      <c r="D22" s="220"/>
      <c r="E22" s="220"/>
      <c r="F22" s="220"/>
      <c r="G22" s="220"/>
      <c r="H22" s="110"/>
      <c r="I22" s="116"/>
      <c r="J22" s="116"/>
      <c r="K22" s="116"/>
      <c r="L22" s="120"/>
      <c r="M22" s="120"/>
      <c r="N22" s="120"/>
      <c r="O22" s="120"/>
      <c r="P22" s="120"/>
      <c r="Q22" s="120"/>
    </row>
    <row r="23" spans="2:17" ht="18">
      <c r="B23" s="221" t="s">
        <v>58</v>
      </c>
      <c r="C23" s="221"/>
      <c r="D23" s="221"/>
      <c r="E23" s="221"/>
      <c r="F23" s="221"/>
      <c r="G23" s="221"/>
      <c r="H23" s="105">
        <f>IF(H3&lt;&gt;"",SUM(H16:H22),"")</f>
        <v>36.458750000000002</v>
      </c>
      <c r="I23" s="105">
        <f t="shared" ref="I23:Q23" si="2">IF(I3&lt;&gt;"",SUM(I16:I22),"")</f>
        <v>40.308750000000003</v>
      </c>
      <c r="J23" s="105">
        <f t="shared" si="2"/>
        <v>44.473750000000003</v>
      </c>
      <c r="K23" s="105">
        <f t="shared" si="2"/>
        <v>48.323750000000004</v>
      </c>
      <c r="L23" s="117">
        <f t="shared" si="2"/>
        <v>52.488750000000003</v>
      </c>
      <c r="M23" s="117">
        <f t="shared" si="2"/>
        <v>55.988750000000003</v>
      </c>
      <c r="N23" s="117">
        <f t="shared" si="2"/>
        <v>59.296250000000008</v>
      </c>
      <c r="O23" s="117">
        <f t="shared" si="2"/>
        <v>61.36825000000001</v>
      </c>
      <c r="P23" s="117">
        <f t="shared" si="2"/>
        <v>64.868250000000018</v>
      </c>
      <c r="Q23" s="117">
        <f t="shared" si="2"/>
        <v>68.368250000000003</v>
      </c>
    </row>
    <row r="24" spans="2:17" ht="18">
      <c r="B24" s="222" t="s">
        <v>59</v>
      </c>
      <c r="C24" s="222"/>
      <c r="D24" s="222"/>
      <c r="E24" s="222"/>
      <c r="F24" s="222"/>
      <c r="G24" s="222"/>
      <c r="H24" s="105">
        <f t="shared" ref="H24:Q24" si="3">IF(H3&lt;&gt;"",H11+H23,"")</f>
        <v>74.919687500000009</v>
      </c>
      <c r="I24" s="112">
        <f t="shared" si="3"/>
        <v>78.769687500000003</v>
      </c>
      <c r="J24" s="112">
        <f t="shared" si="3"/>
        <v>82.934687499999995</v>
      </c>
      <c r="K24" s="112">
        <f t="shared" si="3"/>
        <v>86.784687500000004</v>
      </c>
      <c r="L24" s="117">
        <f t="shared" si="3"/>
        <v>90.94968750000001</v>
      </c>
      <c r="M24" s="117">
        <f t="shared" si="3"/>
        <v>94.44968750000001</v>
      </c>
      <c r="N24" s="117">
        <f t="shared" si="3"/>
        <v>97.757187500000015</v>
      </c>
      <c r="O24" s="117">
        <f t="shared" si="3"/>
        <v>80.516687500000018</v>
      </c>
      <c r="P24" s="117">
        <f t="shared" si="3"/>
        <v>84.016687500000018</v>
      </c>
      <c r="Q24" s="117">
        <f t="shared" si="3"/>
        <v>87.516687500000003</v>
      </c>
    </row>
    <row r="25" spans="2:17" ht="18">
      <c r="B25" s="226" t="s">
        <v>60</v>
      </c>
      <c r="C25" s="226"/>
      <c r="D25" s="226"/>
      <c r="E25" s="226"/>
      <c r="F25" s="226"/>
      <c r="G25" s="226"/>
      <c r="H25" s="108">
        <f>IF(H3&lt;&gt;"",'Cattle type'!H7*'Cattle type'!J7+'Cattle type'!L7*'Cattle type'!N7,"")</f>
        <v>254</v>
      </c>
      <c r="I25" s="114">
        <f>IF(I3&lt;&gt;"",'Cattle type'!H8*'Cattle type'!J8+'Cattle type'!L8*'Cattle type'!N8,"")</f>
        <v>264</v>
      </c>
      <c r="J25" s="114">
        <f>IF(J3&lt;&gt;"",'Cattle type'!H9*'Cattle type'!J9+'Cattle type'!L9*'Cattle type'!N9,"")</f>
        <v>283</v>
      </c>
      <c r="K25" s="114">
        <f>IF(K3&lt;&gt;"",'Cattle type'!H10*'Cattle type'!J10+'Cattle type'!L10*'Cattle type'!N10,"")</f>
        <v>292.99999999999994</v>
      </c>
      <c r="L25" s="118">
        <f>IF(L3&lt;&gt;"",'Cattle type'!H11*'Cattle type'!J11+'Cattle type'!L11*'Cattle type'!N11,"")</f>
        <v>312</v>
      </c>
      <c r="M25" s="118">
        <f>IF(M3&lt;&gt;"",'Cattle type'!H12*'Cattle type'!J12+'Cattle type'!L12*'Cattle type'!N12,"")</f>
        <v>312</v>
      </c>
      <c r="N25" s="118">
        <f>IF(N3&lt;&gt;"",'Cattle type'!H13*'Cattle type'!J13+'Cattle type'!L13*'Cattle type'!N13,"")</f>
        <v>306.5</v>
      </c>
      <c r="O25" s="118">
        <f>IF(O3&lt;&gt;"",'Cattle type'!H14*'Cattle type'!J14+'Cattle type'!L14*'Cattle type'!N14,"")</f>
        <v>265.7</v>
      </c>
      <c r="P25" s="118">
        <f>IF(P3&lt;&gt;"",'Cattle type'!H15*'Cattle type'!J15+'Cattle type'!L15*'Cattle type'!N15,"")</f>
        <v>265.7</v>
      </c>
      <c r="Q25" s="118">
        <f>IF(Q3&lt;&gt;"",'Cattle type'!H16*'Cattle type'!J16+'Cattle type'!L16*'Cattle type'!N16,"")</f>
        <v>265.7</v>
      </c>
    </row>
    <row r="26" spans="2:17" ht="15" customHeight="1">
      <c r="B26" s="223" t="s">
        <v>61</v>
      </c>
      <c r="C26" s="224"/>
      <c r="D26" s="224"/>
      <c r="E26" s="224"/>
      <c r="F26" s="224"/>
      <c r="G26" s="224"/>
      <c r="H26" s="219">
        <f t="shared" ref="H26:Q26" si="4">IF(H3&lt;&gt;"",H24/H25,"")</f>
        <v>0.29495939960629924</v>
      </c>
      <c r="I26" s="219">
        <f t="shared" si="4"/>
        <v>0.29837002840909094</v>
      </c>
      <c r="J26" s="219">
        <f t="shared" si="4"/>
        <v>0.29305543286219082</v>
      </c>
      <c r="K26" s="219">
        <f t="shared" si="4"/>
        <v>0.2961934726962458</v>
      </c>
      <c r="L26" s="235">
        <f t="shared" si="4"/>
        <v>0.29150540865384617</v>
      </c>
      <c r="M26" s="235">
        <f t="shared" si="4"/>
        <v>0.3027233573717949</v>
      </c>
      <c r="N26" s="235">
        <f t="shared" si="4"/>
        <v>0.31894677814029371</v>
      </c>
      <c r="O26" s="235">
        <f t="shared" si="4"/>
        <v>0.30303608392924358</v>
      </c>
      <c r="P26" s="235">
        <f t="shared" si="4"/>
        <v>0.31620883515242765</v>
      </c>
      <c r="Q26" s="235">
        <f t="shared" si="4"/>
        <v>0.3293815863756116</v>
      </c>
    </row>
    <row r="27" spans="2:17" ht="23.25" customHeight="1">
      <c r="B27" s="225"/>
      <c r="C27" s="225"/>
      <c r="D27" s="225"/>
      <c r="E27" s="225"/>
      <c r="F27" s="225"/>
      <c r="G27" s="225"/>
      <c r="H27" s="219"/>
      <c r="I27" s="219"/>
      <c r="J27" s="219"/>
      <c r="K27" s="219"/>
      <c r="L27" s="235"/>
      <c r="M27" s="235"/>
      <c r="N27" s="235"/>
      <c r="O27" s="235"/>
      <c r="P27" s="235"/>
      <c r="Q27" s="235"/>
    </row>
    <row r="28" spans="2:17">
      <c r="G28" s="17" t="s">
        <v>76</v>
      </c>
      <c r="H28" s="18">
        <f>'Cattle type'!$L$7</f>
        <v>100</v>
      </c>
      <c r="I28" s="18">
        <f>'Cattle type'!$L$8</f>
        <v>100</v>
      </c>
      <c r="J28" s="18">
        <f>'Cattle type'!$L$9</f>
        <v>100</v>
      </c>
      <c r="K28" s="18">
        <f>'Cattle type'!$L$10</f>
        <v>100</v>
      </c>
      <c r="L28" s="18">
        <f>'Cattle type'!$L$11</f>
        <v>100</v>
      </c>
      <c r="M28" s="18">
        <f>'Cattle type'!$L$12</f>
        <v>100</v>
      </c>
      <c r="N28" s="18">
        <f>'Cattle type'!$L$13</f>
        <v>100</v>
      </c>
      <c r="O28" s="18">
        <f>'Cattle type'!$L$14</f>
        <v>100</v>
      </c>
      <c r="P28" s="18">
        <f>'Cattle type'!$L$15</f>
        <v>100</v>
      </c>
      <c r="Q28" s="18">
        <f>'Cattle type'!$L$16</f>
        <v>100</v>
      </c>
    </row>
  </sheetData>
  <mergeCells count="45">
    <mergeCell ref="Q26:Q27"/>
    <mergeCell ref="L26:L27"/>
    <mergeCell ref="M26:M27"/>
    <mergeCell ref="N26:N27"/>
    <mergeCell ref="O26:O27"/>
    <mergeCell ref="P26:P27"/>
    <mergeCell ref="H2:Q2"/>
    <mergeCell ref="B10:G10"/>
    <mergeCell ref="B11:G11"/>
    <mergeCell ref="B12:G12"/>
    <mergeCell ref="B2:G2"/>
    <mergeCell ref="B4:G4"/>
    <mergeCell ref="B9:G9"/>
    <mergeCell ref="B5:C5"/>
    <mergeCell ref="F5:G5"/>
    <mergeCell ref="B6:C6"/>
    <mergeCell ref="F6:G6"/>
    <mergeCell ref="B8:E8"/>
    <mergeCell ref="B3:G3"/>
    <mergeCell ref="F8:G8"/>
    <mergeCell ref="B7:C7"/>
    <mergeCell ref="F7:G7"/>
    <mergeCell ref="K26:K27"/>
    <mergeCell ref="B22:G22"/>
    <mergeCell ref="B23:G23"/>
    <mergeCell ref="B24:G24"/>
    <mergeCell ref="B17:G17"/>
    <mergeCell ref="B19:G19"/>
    <mergeCell ref="B20:G20"/>
    <mergeCell ref="B21:G21"/>
    <mergeCell ref="B18:G18"/>
    <mergeCell ref="B26:G27"/>
    <mergeCell ref="H26:H27"/>
    <mergeCell ref="B25:G25"/>
    <mergeCell ref="B16:E16"/>
    <mergeCell ref="F16:G16"/>
    <mergeCell ref="B15:C15"/>
    <mergeCell ref="I26:I27"/>
    <mergeCell ref="J26:J27"/>
    <mergeCell ref="F15:G15"/>
    <mergeCell ref="B13:C13"/>
    <mergeCell ref="D13:E13"/>
    <mergeCell ref="F13:G13"/>
    <mergeCell ref="B14:C14"/>
    <mergeCell ref="F14:G14"/>
  </mergeCells>
  <dataValidations xWindow="1220" yWindow="512" count="5">
    <dataValidation allowBlank="1" showInputMessage="1" showErrorMessage="1" prompt="Enter hay price (as fed) per ton." sqref="E5" xr:uid="{00000000-0002-0000-0300-000000000000}"/>
    <dataValidation allowBlank="1" showInputMessage="1" showErrorMessage="1" prompt="Press ctrl+r to copy the current cell to the right." sqref="H5:Q22" xr:uid="{00000000-0002-0000-0300-000001000000}"/>
    <dataValidation allowBlank="1" showInputMessage="1" showErrorMessage="1" prompt="Enter rental price." sqref="F13:G13" xr:uid="{00000000-0002-0000-0300-000002000000}"/>
    <dataValidation allowBlank="1" showInputMessage="1" showErrorMessage="1" prompt="Enter supplement  price (as fed) per ton." sqref="E6 E14" xr:uid="{00000000-0002-0000-0300-000003000000}"/>
    <dataValidation allowBlank="1" showInputMessage="1" showErrorMessage="1" prompt="Enter mineral price (as fed) per ton." sqref="E7 E15" xr:uid="{00000000-0002-0000-0300-000004000000}"/>
  </dataValidations>
  <pageMargins left="0.7" right="0.7" top="0.75" bottom="0.75" header="0.3" footer="0.3"/>
  <pageSetup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turn_to_steers">
                <anchor moveWithCells="1" sizeWithCells="1">
                  <from>
                    <xdr:col>6</xdr:col>
                    <xdr:colOff>457200</xdr:colOff>
                    <xdr:row>29</xdr:row>
                    <xdr:rowOff>0</xdr:rowOff>
                  </from>
                  <to>
                    <xdr:col>10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ancel_steers">
                <anchor moveWithCells="1" sizeWithCells="1">
                  <from>
                    <xdr:col>7</xdr:col>
                    <xdr:colOff>0</xdr:colOff>
                    <xdr:row>33</xdr:row>
                    <xdr:rowOff>7620</xdr:rowOff>
                  </from>
                  <to>
                    <xdr:col>10</xdr:col>
                    <xdr:colOff>7620</xdr:colOff>
                    <xdr:row>35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2:S25"/>
  <sheetViews>
    <sheetView workbookViewId="0">
      <selection activeCell="F36" sqref="F36"/>
    </sheetView>
  </sheetViews>
  <sheetFormatPr defaultRowHeight="14.4"/>
  <cols>
    <col min="5" max="5" width="10" customWidth="1"/>
    <col min="6" max="14" width="9.5546875" customWidth="1"/>
    <col min="15" max="15" width="10" customWidth="1"/>
  </cols>
  <sheetData>
    <row r="2" spans="2:19" ht="25.5" customHeight="1">
      <c r="F2" s="196" t="s">
        <v>9</v>
      </c>
      <c r="G2" s="197"/>
      <c r="H2" s="197"/>
      <c r="I2" s="197"/>
      <c r="J2" s="197"/>
      <c r="K2" s="197"/>
      <c r="L2" s="197"/>
      <c r="M2" s="197"/>
      <c r="N2" s="197"/>
      <c r="O2" s="197"/>
    </row>
    <row r="3" spans="2:19" ht="20.25" customHeight="1">
      <c r="B3" s="198" t="s">
        <v>55</v>
      </c>
      <c r="C3" s="199"/>
      <c r="D3" s="199"/>
      <c r="E3" s="200"/>
      <c r="F3" s="84">
        <f>'Cattle type'!D3+25</f>
        <v>325</v>
      </c>
      <c r="G3" s="84">
        <f>IF(F3&lt;'Cattle type'!$E$3-25,F3+50,"")</f>
        <v>375</v>
      </c>
      <c r="H3" s="84">
        <f>IF(G3&lt;'Cattle type'!$E$3-25,G3+50,"")</f>
        <v>425</v>
      </c>
      <c r="I3" s="84">
        <f>IF(H3&lt;'Cattle type'!$E$3-25,H3+50,"")</f>
        <v>475</v>
      </c>
      <c r="J3" s="84">
        <f>IF(I3&lt;'Cattle type'!$E$3-25,I3+50,"")</f>
        <v>525</v>
      </c>
      <c r="K3" s="84">
        <f>IF(J3&lt;'Cattle type'!$E$3-25,J3+50,"")</f>
        <v>575</v>
      </c>
      <c r="L3" s="84">
        <f>IF(K3&lt;'Cattle type'!$E$3-25,K3+50,"")</f>
        <v>625</v>
      </c>
      <c r="M3" s="84">
        <f>IF(L3&lt;'Cattle type'!$E$3-25,L3+50,"")</f>
        <v>675</v>
      </c>
      <c r="N3" s="84">
        <f>IF(M3&lt;'Cattle type'!$E$3-25,M3+50,"")</f>
        <v>725</v>
      </c>
      <c r="O3" s="84">
        <f>IF(N3&lt;'Cattle type'!$E$3-25,N3+50,"")</f>
        <v>775</v>
      </c>
    </row>
    <row r="4" spans="2:19" ht="21">
      <c r="B4" s="150" t="s">
        <v>33</v>
      </c>
      <c r="C4" s="151"/>
      <c r="D4" s="156"/>
      <c r="E4" s="9" t="s">
        <v>32</v>
      </c>
      <c r="F4" s="86">
        <v>18</v>
      </c>
      <c r="G4" s="86">
        <v>17</v>
      </c>
      <c r="H4" s="86">
        <v>17</v>
      </c>
      <c r="I4" s="86">
        <v>16</v>
      </c>
      <c r="J4" s="86">
        <v>15</v>
      </c>
      <c r="K4" s="86">
        <v>14</v>
      </c>
      <c r="L4" s="86">
        <v>12</v>
      </c>
      <c r="M4" s="86">
        <v>10</v>
      </c>
      <c r="N4" s="86">
        <v>10</v>
      </c>
      <c r="O4" s="86">
        <v>10</v>
      </c>
    </row>
    <row r="5" spans="2:19" ht="21">
      <c r="B5" s="150" t="s">
        <v>34</v>
      </c>
      <c r="C5" s="151"/>
      <c r="D5" s="156"/>
      <c r="E5" s="9" t="s">
        <v>32</v>
      </c>
      <c r="F5" s="86">
        <v>11</v>
      </c>
      <c r="G5" s="86">
        <v>12</v>
      </c>
      <c r="H5" s="86">
        <v>13</v>
      </c>
      <c r="I5" s="86">
        <v>14</v>
      </c>
      <c r="J5" s="86">
        <v>15</v>
      </c>
      <c r="K5" s="86">
        <v>16</v>
      </c>
      <c r="L5" s="86">
        <v>16.5</v>
      </c>
      <c r="M5" s="86">
        <v>16.5</v>
      </c>
      <c r="N5" s="86">
        <v>17</v>
      </c>
      <c r="O5" s="86">
        <v>18</v>
      </c>
    </row>
    <row r="6" spans="2:19" ht="21">
      <c r="B6" s="150" t="s">
        <v>35</v>
      </c>
      <c r="C6" s="151"/>
      <c r="D6" s="156"/>
      <c r="E6" s="9" t="s">
        <v>32</v>
      </c>
      <c r="F6" s="86">
        <v>2</v>
      </c>
      <c r="G6" s="86">
        <v>2</v>
      </c>
      <c r="H6" s="86">
        <v>2</v>
      </c>
      <c r="I6" s="86">
        <v>2</v>
      </c>
      <c r="J6" s="86">
        <v>2</v>
      </c>
      <c r="K6" s="86">
        <v>2</v>
      </c>
      <c r="L6" s="86">
        <v>2</v>
      </c>
      <c r="M6" s="86">
        <v>2</v>
      </c>
      <c r="N6" s="86">
        <v>2</v>
      </c>
      <c r="O6" s="86">
        <v>2</v>
      </c>
    </row>
    <row r="7" spans="2:19" ht="21">
      <c r="B7" s="150" t="s">
        <v>36</v>
      </c>
      <c r="C7" s="151"/>
      <c r="D7" s="156"/>
      <c r="E7" s="9" t="s">
        <v>37</v>
      </c>
      <c r="F7" s="86">
        <v>0.4</v>
      </c>
      <c r="G7" s="86">
        <v>0.43</v>
      </c>
      <c r="H7" s="86">
        <v>0.46</v>
      </c>
      <c r="I7" s="86">
        <v>0.48</v>
      </c>
      <c r="J7" s="86">
        <v>0.5</v>
      </c>
      <c r="K7" s="86">
        <v>0.5</v>
      </c>
      <c r="L7" s="86">
        <v>0.53</v>
      </c>
      <c r="M7" s="86">
        <v>0.56999999999999995</v>
      </c>
      <c r="N7" s="86">
        <v>0.62</v>
      </c>
      <c r="O7" s="86">
        <v>0.68</v>
      </c>
      <c r="P7" s="53"/>
      <c r="Q7" s="53"/>
      <c r="R7" s="53"/>
      <c r="S7" s="53"/>
    </row>
    <row r="8" spans="2:19" ht="21.75" customHeight="1">
      <c r="B8" s="150" t="s">
        <v>56</v>
      </c>
      <c r="C8" s="151"/>
      <c r="D8" s="156"/>
      <c r="E8" s="9"/>
      <c r="F8" s="87">
        <f>IF(F3&lt;&gt;"",'Producer Info'!F14+'Cattle type'!I7+'Cattle type'!M7)</f>
        <v>40263</v>
      </c>
      <c r="G8" s="87">
        <f>IF(G3&lt;&gt;"",'Producer Info'!F14+'Cattle type'!I8+'Cattle type'!M8,"")</f>
        <v>40263</v>
      </c>
      <c r="H8" s="87">
        <f>IF(H3&lt;&gt;"",'Producer Info'!F14+'Cattle type'!I9+'Cattle type'!M9,"")</f>
        <v>40263</v>
      </c>
      <c r="I8" s="87">
        <f>IF(I3&lt;&gt;"",'Producer Info'!F14+'Cattle type'!I10+'Cattle type'!M10,"")</f>
        <v>40263</v>
      </c>
      <c r="J8" s="87">
        <f>IF(J3&lt;&gt;"",'Producer Info'!F14+'Cattle type'!I11+'Cattle type'!M11,"")</f>
        <v>40263</v>
      </c>
      <c r="K8" s="87">
        <f>IF(K3&lt;&gt;"",'Producer Info'!F14+'Cattle type'!I12+'Cattle type'!M12,"")</f>
        <v>40263</v>
      </c>
      <c r="L8" s="87">
        <f>IF(L3&lt;&gt;"",'Producer Info'!F14+'Cattle type'!I13+'Cattle type'!M13,"")</f>
        <v>40263</v>
      </c>
      <c r="M8" s="87">
        <f>IF(M3&lt;&gt;"",'Producer Info'!F14+'Cattle type'!I14+'Cattle type'!M14,"")</f>
        <v>40239</v>
      </c>
      <c r="N8" s="87">
        <f>IF(N3&lt;&gt;"",'Producer Info'!F14+'Cattle type'!I15+'Cattle type'!M15,"")</f>
        <v>40239</v>
      </c>
      <c r="O8" s="87">
        <f>IF(O3&lt;&gt;"",'Producer Info'!F14+'Cattle type'!I16+'Cattle type'!M16,"")</f>
        <v>40239</v>
      </c>
    </row>
    <row r="10" spans="2:19" ht="40.5" customHeight="1">
      <c r="B10" s="202" t="s">
        <v>62</v>
      </c>
      <c r="C10" s="203"/>
      <c r="D10" s="203"/>
      <c r="E10" s="203"/>
      <c r="F10" s="203"/>
      <c r="G10" s="203"/>
      <c r="H10" s="203"/>
      <c r="I10" s="204"/>
      <c r="J10" s="204"/>
      <c r="K10" s="204"/>
      <c r="L10" s="204"/>
      <c r="M10" s="204"/>
      <c r="N10" s="204"/>
      <c r="O10" s="204"/>
    </row>
    <row r="11" spans="2:19" ht="21">
      <c r="B11" s="198" t="s">
        <v>55</v>
      </c>
      <c r="C11" s="199"/>
      <c r="D11" s="199"/>
      <c r="E11" s="200"/>
      <c r="F11" s="85">
        <f>F3</f>
        <v>325</v>
      </c>
      <c r="G11" s="91">
        <f t="shared" ref="G11:O11" si="0">G3</f>
        <v>375</v>
      </c>
      <c r="H11" s="91">
        <f t="shared" si="0"/>
        <v>425</v>
      </c>
      <c r="I11" s="91">
        <f t="shared" si="0"/>
        <v>475</v>
      </c>
      <c r="J11" s="91">
        <f t="shared" si="0"/>
        <v>525</v>
      </c>
      <c r="K11" s="91">
        <f t="shared" si="0"/>
        <v>575</v>
      </c>
      <c r="L11" s="91">
        <f t="shared" si="0"/>
        <v>625</v>
      </c>
      <c r="M11" s="91">
        <f t="shared" si="0"/>
        <v>675</v>
      </c>
      <c r="N11" s="91">
        <f t="shared" si="0"/>
        <v>725</v>
      </c>
      <c r="O11" s="91">
        <f t="shared" si="0"/>
        <v>775</v>
      </c>
    </row>
    <row r="12" spans="2:19" ht="21">
      <c r="B12" s="198" t="s">
        <v>40</v>
      </c>
      <c r="C12" s="199"/>
      <c r="D12" s="199"/>
      <c r="E12" s="200"/>
      <c r="F12" s="76"/>
      <c r="G12" s="77"/>
      <c r="H12" s="77"/>
      <c r="I12" s="77"/>
      <c r="J12" s="77"/>
      <c r="K12" s="77"/>
      <c r="L12" s="77"/>
      <c r="M12" s="77"/>
      <c r="N12" s="77"/>
      <c r="O12" s="77"/>
    </row>
    <row r="13" spans="2:19" ht="21">
      <c r="B13" s="205" t="s">
        <v>41</v>
      </c>
      <c r="C13" s="205"/>
      <c r="D13" s="205"/>
      <c r="E13" s="10" t="s">
        <v>42</v>
      </c>
      <c r="F13" s="93">
        <v>550</v>
      </c>
      <c r="G13" s="93">
        <v>610</v>
      </c>
      <c r="H13" s="93">
        <v>679</v>
      </c>
      <c r="I13" s="93">
        <v>739</v>
      </c>
      <c r="J13" s="93">
        <v>808</v>
      </c>
      <c r="K13" s="93">
        <v>858</v>
      </c>
      <c r="L13" s="93">
        <v>902.5</v>
      </c>
      <c r="M13" s="93">
        <v>916.5</v>
      </c>
      <c r="N13" s="93">
        <v>966.5</v>
      </c>
      <c r="O13" s="93">
        <v>1016.5</v>
      </c>
    </row>
    <row r="14" spans="2:19" ht="21">
      <c r="B14" s="205" t="s">
        <v>43</v>
      </c>
      <c r="C14" s="205"/>
      <c r="D14" s="205"/>
      <c r="E14" s="10" t="s">
        <v>31</v>
      </c>
      <c r="F14" s="86">
        <v>109.42</v>
      </c>
      <c r="G14" s="86">
        <v>103.636</v>
      </c>
      <c r="H14" s="86">
        <v>97.520899999999997</v>
      </c>
      <c r="I14" s="86">
        <v>92.846900000000005</v>
      </c>
      <c r="J14" s="86">
        <v>87.471800000000002</v>
      </c>
      <c r="K14" s="86">
        <v>83.576800000000006</v>
      </c>
      <c r="L14" s="86">
        <v>80.110250000000008</v>
      </c>
      <c r="M14" s="86">
        <v>79.019649999999999</v>
      </c>
      <c r="N14" s="86">
        <v>75.124650000000003</v>
      </c>
      <c r="O14" s="86">
        <v>71.229649999999992</v>
      </c>
    </row>
    <row r="15" spans="2:19" ht="21">
      <c r="B15" s="201" t="s">
        <v>44</v>
      </c>
      <c r="C15" s="201"/>
      <c r="D15" s="201"/>
      <c r="E15" s="10" t="s">
        <v>32</v>
      </c>
      <c r="F15" s="95">
        <f>IF(F11&lt;&gt;"",F13*F14/100,"")</f>
        <v>601.80999999999995</v>
      </c>
      <c r="G15" s="95">
        <f t="shared" ref="G15:O15" si="1">IF(G11&lt;&gt;"",G13*G14/100,"")</f>
        <v>632.17959999999994</v>
      </c>
      <c r="H15" s="95">
        <f t="shared" si="1"/>
        <v>662.16691099999991</v>
      </c>
      <c r="I15" s="95">
        <f t="shared" si="1"/>
        <v>686.13859100000002</v>
      </c>
      <c r="J15" s="95">
        <f t="shared" si="1"/>
        <v>706.77214400000003</v>
      </c>
      <c r="K15" s="95">
        <f t="shared" si="1"/>
        <v>717.08894400000008</v>
      </c>
      <c r="L15" s="95">
        <f t="shared" si="1"/>
        <v>722.99500624999996</v>
      </c>
      <c r="M15" s="95">
        <f t="shared" si="1"/>
        <v>724.21509225</v>
      </c>
      <c r="N15" s="95">
        <f t="shared" si="1"/>
        <v>726.07974224999998</v>
      </c>
      <c r="O15" s="95">
        <f t="shared" si="1"/>
        <v>724.04939224999998</v>
      </c>
    </row>
    <row r="16" spans="2:19" ht="21">
      <c r="B16" s="169" t="s">
        <v>45</v>
      </c>
      <c r="C16" s="170"/>
      <c r="D16" s="170"/>
      <c r="E16" s="206"/>
      <c r="F16" s="78"/>
      <c r="G16" s="77"/>
      <c r="H16" s="77"/>
      <c r="I16" s="77"/>
      <c r="J16" s="77"/>
      <c r="K16" s="77"/>
      <c r="L16" s="77"/>
      <c r="M16" s="77"/>
      <c r="N16" s="77"/>
      <c r="O16" s="77"/>
    </row>
    <row r="17" spans="2:15" ht="21">
      <c r="B17" s="205" t="s">
        <v>46</v>
      </c>
      <c r="C17" s="205"/>
      <c r="D17" s="205"/>
      <c r="E17" s="10" t="s">
        <v>32</v>
      </c>
      <c r="F17" s="94">
        <f>IF(F11&lt;&gt;"",F11*'Cattle type'!G7/(1-'Cattle type'!Q7)/100,"")</f>
        <v>397.14867617107944</v>
      </c>
      <c r="G17" s="94">
        <f>IF(G11&lt;&gt;"",G11*'Cattle type'!G8/(1-'Cattle type'!Q8)/100,"")</f>
        <v>450.61099796334014</v>
      </c>
      <c r="H17" s="94">
        <f>IF(H11&lt;&gt;"",H11*'Cattle type'!G9/(1-'Cattle type'!Q9)/100,"")</f>
        <v>438.48914819650599</v>
      </c>
      <c r="I17" s="94">
        <f>IF(I11&lt;&gt;"",I11*'Cattle type'!G10/(1-'Cattle type'!Q10)/100,"")</f>
        <v>466.27640608854455</v>
      </c>
      <c r="J17" s="94">
        <f>IF(J11&lt;&gt;"",J11*'Cattle type'!G11/(1-'Cattle type'!Q11)/100,"")</f>
        <v>521.8365901670827</v>
      </c>
      <c r="K17" s="94">
        <f>IF(K11&lt;&gt;"",K11*'Cattle type'!G12/(1-'Cattle type'!Q12)/100,"")</f>
        <v>554.46728985970663</v>
      </c>
      <c r="L17" s="94">
        <f>IF(L11&lt;&gt;"",L11*'Cattle type'!G13/(1-'Cattle type'!Q13)/100,"")</f>
        <v>608.27033688169809</v>
      </c>
      <c r="M17" s="94">
        <f>IF(M11&lt;&gt;"",M11*'Cattle type'!G14/(1-'Cattle type'!Q14)/100,"")</f>
        <v>651.88604045793636</v>
      </c>
      <c r="N17" s="94">
        <f>IF(N11&lt;&gt;"",N11*'Cattle type'!G15/(1-'Cattle type'!Q15)/100,"")</f>
        <v>679.17177433786685</v>
      </c>
      <c r="O17" s="94">
        <f>IF(O11&lt;&gt;"",O11*'Cattle type'!G16/(1-'Cattle type'!Q16)/100,"")</f>
        <v>699.95141311170619</v>
      </c>
    </row>
    <row r="18" spans="2:15" ht="21">
      <c r="B18" s="205" t="s">
        <v>36</v>
      </c>
      <c r="C18" s="205"/>
      <c r="D18" s="205"/>
      <c r="E18" s="10" t="s">
        <v>32</v>
      </c>
      <c r="F18" s="94">
        <f>IF(F3&lt;&gt;"",F7*(F13-F11),"")</f>
        <v>90</v>
      </c>
      <c r="G18" s="94">
        <f t="shared" ref="G18:O18" si="2">IF(G3&lt;&gt;"",G7*(G13-G11),"")</f>
        <v>101.05</v>
      </c>
      <c r="H18" s="94">
        <f t="shared" si="2"/>
        <v>116.84</v>
      </c>
      <c r="I18" s="94">
        <f t="shared" si="2"/>
        <v>126.72</v>
      </c>
      <c r="J18" s="94">
        <f t="shared" si="2"/>
        <v>141.5</v>
      </c>
      <c r="K18" s="94">
        <f t="shared" si="2"/>
        <v>141.5</v>
      </c>
      <c r="L18" s="94">
        <f t="shared" si="2"/>
        <v>147.07500000000002</v>
      </c>
      <c r="M18" s="94">
        <f t="shared" si="2"/>
        <v>137.655</v>
      </c>
      <c r="N18" s="94">
        <f t="shared" si="2"/>
        <v>149.72999999999999</v>
      </c>
      <c r="O18" s="94">
        <f t="shared" si="2"/>
        <v>164.22</v>
      </c>
    </row>
    <row r="19" spans="2:15" ht="21">
      <c r="B19" s="205" t="s">
        <v>47</v>
      </c>
      <c r="C19" s="205"/>
      <c r="D19" s="205"/>
      <c r="E19" s="10" t="s">
        <v>32</v>
      </c>
      <c r="F19" s="94">
        <f>IF(F11&lt;&gt;"",(F4+F5+F6)/(1-'Cattle type'!P7),"")</f>
        <v>31.632653061224492</v>
      </c>
      <c r="G19" s="94">
        <f>IF(G11&lt;&gt;"",(G4+G5+G6)/(1-'Cattle type'!P8),"")</f>
        <v>31.632653061224492</v>
      </c>
      <c r="H19" s="94">
        <f>IF(H11&lt;&gt;"",(H4+H5+H6)/(1-'Cattle type'!P9),"")</f>
        <v>32.619775739041792</v>
      </c>
      <c r="I19" s="94">
        <f>IF(I11&lt;&gt;"",(I4+I5+I6)/(1-'Cattle type'!P10),"")</f>
        <v>32.619775739041792</v>
      </c>
      <c r="J19" s="94">
        <f>IF(J11&lt;&gt;"",(J4+J5+J6)/(1-'Cattle type'!P11),"")</f>
        <v>32.586558044806516</v>
      </c>
      <c r="K19" s="94">
        <f>IF(K11&lt;&gt;"",(K4+K5+K6)/(1-'Cattle type'!P12),"")</f>
        <v>32.553407934893187</v>
      </c>
      <c r="L19" s="94">
        <f>IF(L11&lt;&gt;"",(L4+L5+L6)/(1-'Cattle type'!P13),"")</f>
        <v>30.995934959349594</v>
      </c>
      <c r="M19" s="94">
        <f>IF(M11&lt;&gt;"",(M4+M5+M6)/(1-'Cattle type'!P14),"")</f>
        <v>28.904665314401623</v>
      </c>
      <c r="N19" s="94">
        <f>IF(N11&lt;&gt;"",(N4+N5+N6)/(1-'Cattle type'!P15),"")</f>
        <v>29.352226720647774</v>
      </c>
      <c r="O19" s="94">
        <f>IF(O11&lt;&gt;"",(O4+O5+O6)/(1-'Cattle type'!P16),"")</f>
        <v>30.303030303030305</v>
      </c>
    </row>
    <row r="20" spans="2:15" ht="21">
      <c r="B20" s="205" t="s">
        <v>48</v>
      </c>
      <c r="C20" s="205"/>
      <c r="D20" s="205"/>
      <c r="E20" s="10" t="s">
        <v>32</v>
      </c>
      <c r="F20" s="94">
        <f>IF(F11&lt;&gt;"",(F17+F19/2+F18/2)*'Producer Info'!$F$15/365*('Cattle type'!I7+'Cattle type'!M7),"")</f>
        <v>10.915878146588266</v>
      </c>
      <c r="G20" s="94">
        <f>IF(G11&lt;&gt;"",(G17+G19/2+G18/2)*'Producer Info'!$F$15/365*('Cattle type'!I8+'Cattle type'!M8),"")</f>
        <v>12.32187732355448</v>
      </c>
      <c r="H20" s="94">
        <f>IF(H11&lt;&gt;"",(H17+H19/2+H18/2)*'Producer Info'!$F$15/365*('Cattle type'!I9+'Cattle type'!M9),"")</f>
        <v>12.232892092532694</v>
      </c>
      <c r="I20" s="94">
        <f>IF(I11&lt;&gt;"",(I17+I19/2+I18/2)*'Producer Info'!$F$15/365*('Cattle type'!I10+'Cattle type'!M10),"")</f>
        <v>13.012966458726492</v>
      </c>
      <c r="J20" s="94">
        <f>IF(J11&lt;&gt;"",(J17+J19/2+J18/2)*'Producer Info'!$F$15/365*('Cattle type'!I11+'Cattle type'!M11),"")</f>
        <v>14.513027019037063</v>
      </c>
      <c r="K20" s="94">
        <f>IF(K11&lt;&gt;"",(K17+K19/2+K18/2)*'Producer Info'!$F$15/365*('Cattle type'!I12+'Cattle type'!M12),"")</f>
        <v>15.290404784373239</v>
      </c>
      <c r="L20" s="94">
        <f>IF(L11&lt;&gt;"",(L17+L19/2+L18/2)*'Producer Info'!$F$15/365*('Cattle type'!I13+'Cattle type'!M13),"")</f>
        <v>16.620713692997107</v>
      </c>
      <c r="M20" s="94">
        <f>IF(M11&lt;&gt;"",(M17+M19/2+M18/2)*'Producer Info'!$F$15/365*('Cattle type'!I14+'Cattle type'!M14),"")</f>
        <v>14.622751339221631</v>
      </c>
      <c r="N20" s="94">
        <f>IF(N11&lt;&gt;"",(N17+N19/2+N18/2)*'Producer Info'!$F$15/365*('Cattle type'!I15+'Cattle type'!M15),"")</f>
        <v>15.290015245722916</v>
      </c>
      <c r="O20" s="94">
        <f>IF(O11&lt;&gt;"",(O17+O19/2+O18/2)*'Producer Info'!$F$15/365*('Cattle type'!I16+'Cattle type'!M16),"")</f>
        <v>15.856892764906814</v>
      </c>
    </row>
    <row r="21" spans="2:15" ht="21">
      <c r="B21" s="201" t="s">
        <v>49</v>
      </c>
      <c r="C21" s="201"/>
      <c r="D21" s="201"/>
      <c r="E21" s="10" t="s">
        <v>32</v>
      </c>
      <c r="F21" s="95">
        <f>IF(F11&lt;&gt;"",SUM(F17:F20),"")</f>
        <v>529.69720737889224</v>
      </c>
      <c r="G21" s="95">
        <f t="shared" ref="G21:O21" si="3">IF(G11&lt;&gt;"",SUM(G17:G20),"")</f>
        <v>595.61552834811914</v>
      </c>
      <c r="H21" s="95">
        <f t="shared" si="3"/>
        <v>600.18181602808045</v>
      </c>
      <c r="I21" s="95">
        <f t="shared" si="3"/>
        <v>638.62914828631278</v>
      </c>
      <c r="J21" s="95">
        <f t="shared" si="3"/>
        <v>710.43617523092632</v>
      </c>
      <c r="K21" s="95">
        <f t="shared" si="3"/>
        <v>743.81110257897296</v>
      </c>
      <c r="L21" s="95">
        <f t="shared" si="3"/>
        <v>802.96198553404486</v>
      </c>
      <c r="M21" s="95">
        <f t="shared" si="3"/>
        <v>833.06845711155961</v>
      </c>
      <c r="N21" s="95">
        <f t="shared" si="3"/>
        <v>873.54401630423752</v>
      </c>
      <c r="O21" s="95">
        <f t="shared" si="3"/>
        <v>910.33133617964324</v>
      </c>
    </row>
    <row r="22" spans="2:15" ht="21">
      <c r="B22" s="201" t="s">
        <v>50</v>
      </c>
      <c r="C22" s="201"/>
      <c r="D22" s="201"/>
      <c r="E22" s="10" t="s">
        <v>32</v>
      </c>
      <c r="F22" s="95">
        <f>IF(F11&lt;&gt;"",F15-F21,"")</f>
        <v>72.112792621107701</v>
      </c>
      <c r="G22" s="95">
        <f t="shared" ref="G22:O22" si="4">IF(G11&lt;&gt;"",G15-G21,"")</f>
        <v>36.564071651880795</v>
      </c>
      <c r="H22" s="95">
        <f t="shared" si="4"/>
        <v>61.985094971919466</v>
      </c>
      <c r="I22" s="95">
        <f t="shared" si="4"/>
        <v>47.509442713687235</v>
      </c>
      <c r="J22" s="95">
        <f t="shared" si="4"/>
        <v>-3.6640312309262981</v>
      </c>
      <c r="K22" s="95">
        <f t="shared" si="4"/>
        <v>-26.722158578972881</v>
      </c>
      <c r="L22" s="95">
        <f t="shared" si="4"/>
        <v>-79.966979284044896</v>
      </c>
      <c r="M22" s="95">
        <f t="shared" si="4"/>
        <v>-108.85336486155961</v>
      </c>
      <c r="N22" s="95">
        <f t="shared" si="4"/>
        <v>-147.46427405423753</v>
      </c>
      <c r="O22" s="95">
        <f t="shared" si="4"/>
        <v>-186.28194392964326</v>
      </c>
    </row>
    <row r="23" spans="2:15" ht="38.25" customHeight="1">
      <c r="B23" s="207" t="s">
        <v>181</v>
      </c>
      <c r="C23" s="208"/>
      <c r="D23" s="209"/>
      <c r="E23" s="10" t="s">
        <v>32</v>
      </c>
      <c r="F23" s="95">
        <f>IF(F11&lt;&gt;"",F15*(1-'Cattle type'!$Q7)-F21,"")</f>
        <v>61.280212621107694</v>
      </c>
      <c r="G23" s="95">
        <f>IF(G11&lt;&gt;"",G15*(1-'Cattle type'!$Q8)-G21,"")</f>
        <v>25.184838851880841</v>
      </c>
      <c r="H23" s="95">
        <f>IF(H11&lt;&gt;"",H15*(1-'Cattle type'!$Q9)-H21,"")</f>
        <v>50.728257484919482</v>
      </c>
      <c r="I23" s="95">
        <f>IF(I11&lt;&gt;"",I15*(1-'Cattle type'!$Q10)-I21,"")</f>
        <v>35.84508666668728</v>
      </c>
      <c r="J23" s="95">
        <f>IF(J11&lt;&gt;"",J15*(1-'Cattle type'!$Q11)-J21,"")</f>
        <v>-14.972385534926275</v>
      </c>
      <c r="K23" s="95">
        <f>IF(K11&lt;&gt;"",K15*(1-'Cattle type'!$Q12)-K21,"")</f>
        <v>-37.478492738972932</v>
      </c>
      <c r="L23" s="95">
        <f>IF(L11&lt;&gt;"",L15*(1-'Cattle type'!$Q13)-L21,"")</f>
        <v>-90.088909371544901</v>
      </c>
      <c r="M23" s="95">
        <f>IF(M11&lt;&gt;"",M15*(1-'Cattle type'!$Q14)-M21,"")</f>
        <v>-117.54394596855957</v>
      </c>
      <c r="N23" s="95">
        <f>IF(N11&lt;&gt;"",N15*(1-'Cattle type'!$Q15)-N21,"")</f>
        <v>-154.72507147673753</v>
      </c>
      <c r="O23" s="95">
        <f>IF(O11&lt;&gt;"",O15*(1-'Cattle type'!$Q16)-O21,"")</f>
        <v>-192.79838845989332</v>
      </c>
    </row>
    <row r="24" spans="2:15" ht="21">
      <c r="B24" s="201" t="s">
        <v>51</v>
      </c>
      <c r="C24" s="201"/>
      <c r="D24" s="201"/>
      <c r="E24" s="10" t="s">
        <v>31</v>
      </c>
      <c r="F24" s="95">
        <f>IF(F11&lt;&gt;"",F21/F13*100,"")</f>
        <v>96.308583159798587</v>
      </c>
      <c r="G24" s="95">
        <f t="shared" ref="G24:O24" si="5">IF(G11&lt;&gt;"",G21/G13*100,"")</f>
        <v>97.641889893134277</v>
      </c>
      <c r="H24" s="95">
        <f t="shared" si="5"/>
        <v>88.39202003359064</v>
      </c>
      <c r="I24" s="95">
        <f t="shared" si="5"/>
        <v>86.418017359446935</v>
      </c>
      <c r="J24" s="95">
        <f t="shared" si="5"/>
        <v>87.925269211748301</v>
      </c>
      <c r="K24" s="95">
        <f t="shared" si="5"/>
        <v>86.691270696849998</v>
      </c>
      <c r="L24" s="95">
        <f t="shared" si="5"/>
        <v>88.97085712288586</v>
      </c>
      <c r="M24" s="95">
        <f t="shared" si="5"/>
        <v>90.896721997987953</v>
      </c>
      <c r="N24" s="95">
        <f t="shared" si="5"/>
        <v>90.382205515182363</v>
      </c>
      <c r="O24" s="95">
        <f t="shared" si="5"/>
        <v>89.555468389536969</v>
      </c>
    </row>
    <row r="25" spans="2:15" ht="21">
      <c r="B25" s="201" t="s">
        <v>52</v>
      </c>
      <c r="C25" s="201"/>
      <c r="D25" s="201"/>
      <c r="E25" s="10" t="s">
        <v>53</v>
      </c>
      <c r="F25" s="95">
        <f>IF(F11&lt;&gt;"",F23/'Cattle type'!R7,"")</f>
        <v>76.600265776384617</v>
      </c>
      <c r="G25" s="95">
        <f>IF(G11&lt;&gt;"",G23/'Cattle type'!R8,"")</f>
        <v>35.97834121697263</v>
      </c>
      <c r="H25" s="95">
        <f>IF(H11&lt;&gt;"",H23/'Cattle type'!R9,"")</f>
        <v>84.547095808199145</v>
      </c>
      <c r="I25" s="95">
        <f>IF(I11&lt;&gt;"",I23/'Cattle type'!R10,"")</f>
        <v>71.69017333337456</v>
      </c>
      <c r="J25" s="95">
        <f>IF(J11&lt;&gt;"",J23/'Cattle type'!R11,"")</f>
        <v>-29.94477106985255</v>
      </c>
      <c r="K25" s="95">
        <f>IF(K11&lt;&gt;"",K23/'Cattle type'!R12,"")</f>
        <v>-93.69623184743233</v>
      </c>
      <c r="L25" s="95">
        <f>IF(L11&lt;&gt;"",L23/'Cattle type'!R13,"")</f>
        <v>-225.22227342886225</v>
      </c>
      <c r="M25" s="95">
        <f>IF(M11&lt;&gt;"",M23/'Cattle type'!R14,"")</f>
        <v>-293.85986492139892</v>
      </c>
      <c r="N25" s="95">
        <f>IF(N11&lt;&gt;"",N23/'Cattle type'!R15,"")</f>
        <v>-515.75023825579183</v>
      </c>
      <c r="O25" s="95">
        <f>IF(O11&lt;&gt;"",O23/'Cattle type'!R16,"")</f>
        <v>-642.6612948663111</v>
      </c>
    </row>
  </sheetData>
  <mergeCells count="23">
    <mergeCell ref="B14:D14"/>
    <mergeCell ref="F2:O2"/>
    <mergeCell ref="B3:E3"/>
    <mergeCell ref="B4:D4"/>
    <mergeCell ref="B5:D5"/>
    <mergeCell ref="B6:D6"/>
    <mergeCell ref="B7:D7"/>
    <mergeCell ref="B8:D8"/>
    <mergeCell ref="B10:O10"/>
    <mergeCell ref="B11:E11"/>
    <mergeCell ref="B12:E12"/>
    <mergeCell ref="B13:D13"/>
    <mergeCell ref="B21:D21"/>
    <mergeCell ref="B22:D22"/>
    <mergeCell ref="B24:D24"/>
    <mergeCell ref="B25:D25"/>
    <mergeCell ref="B15:D15"/>
    <mergeCell ref="B16:E16"/>
    <mergeCell ref="B17:D17"/>
    <mergeCell ref="B18:D18"/>
    <mergeCell ref="B19:D19"/>
    <mergeCell ref="B20:D20"/>
    <mergeCell ref="B23:D23"/>
  </mergeCells>
  <dataValidations count="1">
    <dataValidation allowBlank="1" showInputMessage="1" showErrorMessage="1" prompt="Press ctrl+t to generate cost of gain using detailed information." sqref="F7:O7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2:Q28"/>
  <sheetViews>
    <sheetView topLeftCell="A10" workbookViewId="0">
      <selection activeCell="B2" sqref="B2:G2"/>
    </sheetView>
  </sheetViews>
  <sheetFormatPr defaultRowHeight="14.4"/>
  <cols>
    <col min="8" max="17" width="10.5546875" customWidth="1"/>
  </cols>
  <sheetData>
    <row r="2" spans="2:17" ht="18">
      <c r="B2" s="229" t="s">
        <v>183</v>
      </c>
      <c r="C2" s="229"/>
      <c r="D2" s="229"/>
      <c r="E2" s="229"/>
      <c r="F2" s="229"/>
      <c r="G2" s="229"/>
      <c r="H2" s="227" t="s">
        <v>9</v>
      </c>
      <c r="I2" s="227"/>
      <c r="J2" s="227"/>
      <c r="K2" s="227"/>
      <c r="L2" s="227"/>
      <c r="M2" s="227"/>
      <c r="N2" s="227"/>
      <c r="O2" s="227"/>
      <c r="P2" s="227"/>
      <c r="Q2" s="227"/>
    </row>
    <row r="3" spans="2:17" ht="18">
      <c r="B3" s="240"/>
      <c r="C3" s="241"/>
      <c r="D3" s="241"/>
      <c r="E3" s="241"/>
      <c r="F3" s="241"/>
      <c r="G3" s="242"/>
      <c r="H3" s="54">
        <v>325</v>
      </c>
      <c r="I3" s="56">
        <v>375</v>
      </c>
      <c r="J3" s="56">
        <v>425</v>
      </c>
      <c r="K3" s="56">
        <v>475</v>
      </c>
      <c r="L3" s="61">
        <v>525</v>
      </c>
      <c r="M3" s="61">
        <v>575</v>
      </c>
      <c r="N3" s="61">
        <v>625</v>
      </c>
      <c r="O3" s="61">
        <v>675</v>
      </c>
      <c r="P3" s="61">
        <v>725</v>
      </c>
      <c r="Q3" s="61">
        <v>775</v>
      </c>
    </row>
    <row r="4" spans="2:17" ht="18">
      <c r="B4" s="243" t="s">
        <v>21</v>
      </c>
      <c r="C4" s="243"/>
      <c r="D4" s="243"/>
      <c r="E4" s="243"/>
      <c r="F4" s="243"/>
      <c r="G4" s="243"/>
      <c r="H4" s="56" t="s">
        <v>20</v>
      </c>
      <c r="I4" s="56" t="s">
        <v>20</v>
      </c>
      <c r="J4" s="56" t="s">
        <v>20</v>
      </c>
      <c r="K4" s="56" t="s">
        <v>20</v>
      </c>
      <c r="L4" s="61" t="s">
        <v>20</v>
      </c>
      <c r="M4" s="61" t="s">
        <v>20</v>
      </c>
      <c r="N4" s="61" t="s">
        <v>20</v>
      </c>
      <c r="O4" s="61" t="s">
        <v>20</v>
      </c>
      <c r="P4" s="61" t="s">
        <v>20</v>
      </c>
      <c r="Q4" s="61" t="s">
        <v>20</v>
      </c>
    </row>
    <row r="5" spans="2:17" ht="18">
      <c r="B5" s="210" t="s">
        <v>71</v>
      </c>
      <c r="C5" s="215"/>
      <c r="D5" s="15" t="s">
        <v>72</v>
      </c>
      <c r="E5" s="16">
        <v>80</v>
      </c>
      <c r="F5" s="216" t="s">
        <v>81</v>
      </c>
      <c r="G5" s="217"/>
      <c r="H5" s="59">
        <v>10</v>
      </c>
      <c r="I5" s="65">
        <v>10</v>
      </c>
      <c r="J5" s="65">
        <v>10</v>
      </c>
      <c r="K5" s="65">
        <v>10</v>
      </c>
      <c r="L5" s="69">
        <v>10</v>
      </c>
      <c r="M5" s="69">
        <v>10</v>
      </c>
      <c r="N5" s="69">
        <v>10</v>
      </c>
      <c r="O5" s="69">
        <v>10</v>
      </c>
      <c r="P5" s="69">
        <v>10</v>
      </c>
      <c r="Q5" s="69">
        <v>10</v>
      </c>
    </row>
    <row r="6" spans="2:17" ht="18">
      <c r="B6" s="210" t="s">
        <v>73</v>
      </c>
      <c r="C6" s="215"/>
      <c r="D6" s="15" t="s">
        <v>72</v>
      </c>
      <c r="E6" s="16">
        <v>400</v>
      </c>
      <c r="F6" s="216" t="s">
        <v>81</v>
      </c>
      <c r="G6" s="217"/>
      <c r="H6" s="59">
        <v>1</v>
      </c>
      <c r="I6" s="65">
        <v>1</v>
      </c>
      <c r="J6" s="65">
        <v>1</v>
      </c>
      <c r="K6" s="65">
        <v>1</v>
      </c>
      <c r="L6" s="69">
        <v>1</v>
      </c>
      <c r="M6" s="69">
        <v>1</v>
      </c>
      <c r="N6" s="69">
        <v>1</v>
      </c>
      <c r="O6" s="69">
        <v>1</v>
      </c>
      <c r="P6" s="69">
        <v>1</v>
      </c>
      <c r="Q6" s="69">
        <v>1</v>
      </c>
    </row>
    <row r="7" spans="2:17" ht="18">
      <c r="B7" s="210" t="s">
        <v>75</v>
      </c>
      <c r="C7" s="215"/>
      <c r="D7" s="15" t="s">
        <v>72</v>
      </c>
      <c r="E7" s="16">
        <v>300</v>
      </c>
      <c r="F7" s="216" t="s">
        <v>82</v>
      </c>
      <c r="G7" s="217"/>
      <c r="H7" s="59">
        <v>4</v>
      </c>
      <c r="I7" s="65">
        <v>4</v>
      </c>
      <c r="J7" s="65">
        <v>4</v>
      </c>
      <c r="K7" s="65">
        <v>4</v>
      </c>
      <c r="L7" s="69">
        <v>4</v>
      </c>
      <c r="M7" s="69">
        <v>4</v>
      </c>
      <c r="N7" s="69">
        <v>4</v>
      </c>
      <c r="O7" s="69">
        <v>4</v>
      </c>
      <c r="P7" s="69">
        <v>4</v>
      </c>
      <c r="Q7" s="69">
        <v>4</v>
      </c>
    </row>
    <row r="8" spans="2:17" ht="18">
      <c r="B8" s="210" t="s">
        <v>78</v>
      </c>
      <c r="C8" s="211"/>
      <c r="D8" s="211"/>
      <c r="E8" s="215"/>
      <c r="F8" s="218" t="s">
        <v>32</v>
      </c>
      <c r="G8" s="218"/>
      <c r="H8" s="57">
        <f>IF(H$3&lt;&gt;"",(H5*$E$5/2000+'Heifer cost of gain'!H6*'Heifer cost of gain'!$E$6/2000+'Heifer cost of gain'!H7*'Heifer cost of gain'!$E$7/2000/128)*'Cattle type'!$H$7)</f>
        <v>27.210937500000004</v>
      </c>
      <c r="I8" s="63">
        <f>IF(I$3&lt;&gt;"",(I5*$E$5/2000+'Heifer cost of gain'!I6*'Heifer cost of gain'!$E$6/2000+'Heifer cost of gain'!I7*'Heifer cost of gain'!$E$7/2000/128)*'Cattle type'!$H$8)</f>
        <v>27.210937500000004</v>
      </c>
      <c r="J8" s="63">
        <f>IF(J$3&lt;&gt;"",(J5*$E$5/2000+'Heifer cost of gain'!J6*'Heifer cost of gain'!$E$6/2000+'Heifer cost of gain'!J7*'Heifer cost of gain'!$E$7/2000/128)*'Cattle type'!$H$9)</f>
        <v>27.210937500000004</v>
      </c>
      <c r="K8" s="63">
        <f>IF(K$3&lt;&gt;"",(K5*$E$5/2000+'Heifer cost of gain'!K6*'Heifer cost of gain'!$E$6/2000+'Heifer cost of gain'!K7*'Heifer cost of gain'!$E$7/2000/128)*'Cattle type'!$H$10)</f>
        <v>27.210937500000004</v>
      </c>
      <c r="L8" s="67">
        <f>IF(L$3&lt;&gt;"",(L5*$E$5/2000+'Heifer cost of gain'!L6*'Heifer cost of gain'!$E$6/2000+'Heifer cost of gain'!L7*'Heifer cost of gain'!$E$7/2000/128)*'Cattle type'!$H$11)</f>
        <v>27.210937500000004</v>
      </c>
      <c r="M8" s="67">
        <f>IF(M$3&lt;&gt;"",(M5*$E$5/2000+'Heifer cost of gain'!M6*'Heifer cost of gain'!$E$6/2000+'Heifer cost of gain'!M7*'Heifer cost of gain'!$E$7/2000/128)*'Cattle type'!$H$12)</f>
        <v>27.210937500000004</v>
      </c>
      <c r="N8" s="67">
        <f>IF(N$3&lt;&gt;"",(N5*$E$5/2000+'Heifer cost of gain'!N6*'Heifer cost of gain'!$E$6/2000+'Heifer cost of gain'!N7*'Heifer cost of gain'!$E$7/2000/128)*'Cattle type'!$H$13)</f>
        <v>27.210937500000004</v>
      </c>
      <c r="O8" s="67">
        <f>IF(O$3&lt;&gt;"",(O5*$E$5/2000+'Heifer cost of gain'!O6*'Heifer cost of gain'!$E$6/2000+'Heifer cost of gain'!O7*'Heifer cost of gain'!$E$7/2000/128)*'Cattle type'!$H$14)</f>
        <v>12.698437500000001</v>
      </c>
      <c r="P8" s="67">
        <f>IF(P$3&lt;&gt;"",(P5*$E$5/2000+'Heifer cost of gain'!P6*'Heifer cost of gain'!$E$6/2000+'Heifer cost of gain'!P7*'Heifer cost of gain'!$E$7/2000/128)*'Cattle type'!$H$15)</f>
        <v>12.698437500000001</v>
      </c>
      <c r="Q8" s="67">
        <f>IF(Q$3&lt;&gt;"",(Q5*$E$5/2000+'Heifer cost of gain'!Q6*'Heifer cost of gain'!$E$6/2000+'Heifer cost of gain'!Q7*'Heifer cost of gain'!$E$7/2000/128)*'Cattle type'!$H$16)</f>
        <v>12.698437500000001</v>
      </c>
    </row>
    <row r="9" spans="2:17" ht="18">
      <c r="B9" s="220" t="s">
        <v>22</v>
      </c>
      <c r="C9" s="220"/>
      <c r="D9" s="220"/>
      <c r="E9" s="220"/>
      <c r="F9" s="220"/>
      <c r="G9" s="220"/>
      <c r="H9" s="60">
        <v>2</v>
      </c>
      <c r="I9" s="66">
        <v>2</v>
      </c>
      <c r="J9" s="66">
        <v>2</v>
      </c>
      <c r="K9" s="66">
        <v>2</v>
      </c>
      <c r="L9" s="70">
        <v>2</v>
      </c>
      <c r="M9" s="70">
        <v>2</v>
      </c>
      <c r="N9" s="70">
        <v>2</v>
      </c>
      <c r="O9" s="70">
        <v>2</v>
      </c>
      <c r="P9" s="70">
        <v>2</v>
      </c>
      <c r="Q9" s="70">
        <v>2</v>
      </c>
    </row>
    <row r="10" spans="2:17" ht="18">
      <c r="B10" s="220" t="s">
        <v>23</v>
      </c>
      <c r="C10" s="220"/>
      <c r="D10" s="220"/>
      <c r="E10" s="220"/>
      <c r="F10" s="220"/>
      <c r="G10" s="220"/>
      <c r="H10" s="60">
        <v>0.25</v>
      </c>
      <c r="I10" s="66">
        <v>0.25</v>
      </c>
      <c r="J10" s="66">
        <v>0.25</v>
      </c>
      <c r="K10" s="66">
        <v>0.25</v>
      </c>
      <c r="L10" s="70">
        <v>0.25</v>
      </c>
      <c r="M10" s="70">
        <v>0.25</v>
      </c>
      <c r="N10" s="70">
        <v>0.25</v>
      </c>
      <c r="O10" s="70">
        <v>0.25</v>
      </c>
      <c r="P10" s="70">
        <v>0.25</v>
      </c>
      <c r="Q10" s="70">
        <v>0.25</v>
      </c>
    </row>
    <row r="11" spans="2:17" ht="18">
      <c r="B11" s="221" t="s">
        <v>24</v>
      </c>
      <c r="C11" s="221"/>
      <c r="D11" s="221"/>
      <c r="E11" s="221"/>
      <c r="F11" s="221"/>
      <c r="G11" s="221"/>
      <c r="H11" s="57">
        <f>IF(H$3&lt;&gt;"",SUM(H8:H10),"")</f>
        <v>29.460937500000004</v>
      </c>
      <c r="I11" s="57">
        <f t="shared" ref="I11:Q11" si="0">IF(I$3&lt;&gt;"",SUM(I8:I10),"")</f>
        <v>29.460937500000004</v>
      </c>
      <c r="J11" s="57">
        <f t="shared" si="0"/>
        <v>29.460937500000004</v>
      </c>
      <c r="K11" s="57">
        <f t="shared" si="0"/>
        <v>29.460937500000004</v>
      </c>
      <c r="L11" s="67">
        <f t="shared" si="0"/>
        <v>29.460937500000004</v>
      </c>
      <c r="M11" s="67">
        <f t="shared" si="0"/>
        <v>29.460937500000004</v>
      </c>
      <c r="N11" s="67">
        <f t="shared" si="0"/>
        <v>29.460937500000004</v>
      </c>
      <c r="O11" s="67">
        <f t="shared" si="0"/>
        <v>14.948437500000001</v>
      </c>
      <c r="P11" s="67">
        <f t="shared" si="0"/>
        <v>14.948437500000001</v>
      </c>
      <c r="Q11" s="67">
        <f t="shared" si="0"/>
        <v>14.948437500000001</v>
      </c>
    </row>
    <row r="12" spans="2:17" ht="18">
      <c r="B12" s="228" t="s">
        <v>57</v>
      </c>
      <c r="C12" s="228"/>
      <c r="D12" s="228"/>
      <c r="E12" s="228"/>
      <c r="F12" s="228"/>
      <c r="G12" s="228"/>
      <c r="H12" s="19"/>
      <c r="I12" s="20"/>
      <c r="J12" s="20"/>
      <c r="K12" s="20"/>
      <c r="L12" s="23"/>
      <c r="M12" s="23"/>
      <c r="N12" s="23"/>
      <c r="O12" s="23"/>
      <c r="P12" s="23"/>
      <c r="Q12" s="23"/>
    </row>
    <row r="13" spans="2:17" ht="18">
      <c r="B13" s="210" t="s">
        <v>77</v>
      </c>
      <c r="C13" s="211"/>
      <c r="D13" s="212" t="s">
        <v>80</v>
      </c>
      <c r="E13" s="212"/>
      <c r="F13" s="213">
        <v>7</v>
      </c>
      <c r="G13" s="214"/>
      <c r="H13" s="57">
        <v>31.640000000000004</v>
      </c>
      <c r="I13" s="63">
        <v>35.49</v>
      </c>
      <c r="J13" s="63">
        <v>39.655000000000001</v>
      </c>
      <c r="K13" s="63">
        <v>43.505000000000003</v>
      </c>
      <c r="L13" s="67">
        <v>47.67</v>
      </c>
      <c r="M13" s="67">
        <v>51.17</v>
      </c>
      <c r="N13" s="67">
        <v>54.477500000000006</v>
      </c>
      <c r="O13" s="67">
        <v>56.549500000000009</v>
      </c>
      <c r="P13" s="67">
        <v>60.049500000000009</v>
      </c>
      <c r="Q13" s="67">
        <v>63.549500000000009</v>
      </c>
    </row>
    <row r="14" spans="2:17" ht="18">
      <c r="B14" s="210" t="s">
        <v>73</v>
      </c>
      <c r="C14" s="215"/>
      <c r="D14" s="15" t="s">
        <v>72</v>
      </c>
      <c r="E14" s="16">
        <v>400</v>
      </c>
      <c r="F14" s="216" t="s">
        <v>81</v>
      </c>
      <c r="G14" s="217"/>
      <c r="H14" s="59">
        <v>0</v>
      </c>
      <c r="I14" s="65">
        <v>0</v>
      </c>
      <c r="J14" s="65">
        <v>0</v>
      </c>
      <c r="K14" s="65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</row>
    <row r="15" spans="2:17" ht="18">
      <c r="B15" s="210" t="s">
        <v>75</v>
      </c>
      <c r="C15" s="215"/>
      <c r="D15" s="15" t="s">
        <v>72</v>
      </c>
      <c r="E15" s="16">
        <v>300</v>
      </c>
      <c r="F15" s="216" t="s">
        <v>82</v>
      </c>
      <c r="G15" s="217"/>
      <c r="H15" s="59">
        <v>4</v>
      </c>
      <c r="I15" s="65">
        <v>4</v>
      </c>
      <c r="J15" s="65">
        <v>4</v>
      </c>
      <c r="K15" s="65">
        <v>4</v>
      </c>
      <c r="L15" s="69">
        <v>4</v>
      </c>
      <c r="M15" s="69">
        <v>4</v>
      </c>
      <c r="N15" s="69">
        <v>4</v>
      </c>
      <c r="O15" s="69">
        <v>4</v>
      </c>
      <c r="P15" s="69">
        <v>4</v>
      </c>
      <c r="Q15" s="69">
        <v>4</v>
      </c>
    </row>
    <row r="16" spans="2:17" ht="18">
      <c r="B16" s="210" t="s">
        <v>79</v>
      </c>
      <c r="C16" s="211"/>
      <c r="D16" s="211"/>
      <c r="E16" s="215"/>
      <c r="F16" s="218" t="s">
        <v>32</v>
      </c>
      <c r="G16" s="218"/>
      <c r="H16" s="57">
        <f>IF(H3&lt;&gt;"",$E$14*H14/2000*H28+H15*$E$15/2000/128*H28+H13,"")</f>
        <v>32.108750000000001</v>
      </c>
      <c r="I16" s="57">
        <f t="shared" ref="I16:Q16" si="1">IF(I3&lt;&gt;"",$E$14*I14/2000*I28+I15*$E$15/2000/128*I28+I13,"")</f>
        <v>35.958750000000002</v>
      </c>
      <c r="J16" s="57">
        <f t="shared" si="1"/>
        <v>40.123750000000001</v>
      </c>
      <c r="K16" s="57">
        <f t="shared" si="1"/>
        <v>43.973750000000003</v>
      </c>
      <c r="L16" s="67">
        <f t="shared" si="1"/>
        <v>48.138750000000002</v>
      </c>
      <c r="M16" s="67">
        <f t="shared" si="1"/>
        <v>51.638750000000002</v>
      </c>
      <c r="N16" s="67">
        <f t="shared" si="1"/>
        <v>54.946250000000006</v>
      </c>
      <c r="O16" s="67">
        <f t="shared" si="1"/>
        <v>57.018250000000009</v>
      </c>
      <c r="P16" s="67">
        <f t="shared" si="1"/>
        <v>60.518250000000009</v>
      </c>
      <c r="Q16" s="67">
        <f t="shared" si="1"/>
        <v>64.018250000000009</v>
      </c>
    </row>
    <row r="17" spans="2:17" ht="18">
      <c r="B17" s="220" t="s">
        <v>25</v>
      </c>
      <c r="C17" s="220"/>
      <c r="D17" s="220"/>
      <c r="E17" s="220"/>
      <c r="F17" s="220"/>
      <c r="G17" s="220"/>
      <c r="H17" s="60">
        <v>1.25</v>
      </c>
      <c r="I17" s="66">
        <v>1.25</v>
      </c>
      <c r="J17" s="66">
        <v>1.25</v>
      </c>
      <c r="K17" s="66">
        <v>1.25</v>
      </c>
      <c r="L17" s="70">
        <v>1.25</v>
      </c>
      <c r="M17" s="70">
        <v>1.25</v>
      </c>
      <c r="N17" s="70">
        <v>1.25</v>
      </c>
      <c r="O17" s="70">
        <v>1.25</v>
      </c>
      <c r="P17" s="70">
        <v>1.25</v>
      </c>
      <c r="Q17" s="70">
        <v>1.25</v>
      </c>
    </row>
    <row r="18" spans="2:17" ht="18">
      <c r="B18" s="220" t="s">
        <v>26</v>
      </c>
      <c r="C18" s="220"/>
      <c r="D18" s="220"/>
      <c r="E18" s="220"/>
      <c r="F18" s="220"/>
      <c r="G18" s="220"/>
      <c r="H18" s="60">
        <v>0</v>
      </c>
      <c r="I18" s="66">
        <v>0</v>
      </c>
      <c r="J18" s="66">
        <v>0</v>
      </c>
      <c r="K18" s="66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spans="2:17" ht="18">
      <c r="B19" s="220" t="s">
        <v>27</v>
      </c>
      <c r="C19" s="220"/>
      <c r="D19" s="220"/>
      <c r="E19" s="220"/>
      <c r="F19" s="220"/>
      <c r="G19" s="220"/>
      <c r="H19" s="60">
        <v>0.1</v>
      </c>
      <c r="I19" s="66">
        <v>0.1</v>
      </c>
      <c r="J19" s="66">
        <v>0.1</v>
      </c>
      <c r="K19" s="66">
        <v>0.1</v>
      </c>
      <c r="L19" s="70">
        <v>0.1</v>
      </c>
      <c r="M19" s="70">
        <v>0.1</v>
      </c>
      <c r="N19" s="70">
        <v>0.1</v>
      </c>
      <c r="O19" s="70">
        <v>0.1</v>
      </c>
      <c r="P19" s="70">
        <v>0.1</v>
      </c>
      <c r="Q19" s="70">
        <v>0.1</v>
      </c>
    </row>
    <row r="20" spans="2:17" ht="18">
      <c r="B20" s="220" t="s">
        <v>28</v>
      </c>
      <c r="C20" s="220"/>
      <c r="D20" s="220"/>
      <c r="E20" s="220"/>
      <c r="F20" s="220"/>
      <c r="G20" s="220"/>
      <c r="H20" s="60">
        <v>3</v>
      </c>
      <c r="I20" s="66">
        <v>3</v>
      </c>
      <c r="J20" s="66">
        <v>3</v>
      </c>
      <c r="K20" s="66">
        <v>3</v>
      </c>
      <c r="L20" s="70">
        <v>3</v>
      </c>
      <c r="M20" s="70">
        <v>3</v>
      </c>
      <c r="N20" s="70">
        <v>3</v>
      </c>
      <c r="O20" s="70">
        <v>3</v>
      </c>
      <c r="P20" s="70">
        <v>3</v>
      </c>
      <c r="Q20" s="70">
        <v>3</v>
      </c>
    </row>
    <row r="21" spans="2:17" ht="18">
      <c r="B21" s="220" t="s">
        <v>29</v>
      </c>
      <c r="C21" s="220"/>
      <c r="D21" s="220"/>
      <c r="E21" s="220"/>
      <c r="F21" s="220"/>
      <c r="G21" s="220"/>
      <c r="H21" s="60"/>
      <c r="I21" s="66"/>
      <c r="J21" s="66"/>
      <c r="K21" s="66"/>
      <c r="L21" s="70"/>
      <c r="M21" s="70"/>
      <c r="N21" s="70"/>
      <c r="O21" s="70"/>
      <c r="P21" s="70"/>
      <c r="Q21" s="70"/>
    </row>
    <row r="22" spans="2:17" ht="18">
      <c r="B22" s="220" t="s">
        <v>30</v>
      </c>
      <c r="C22" s="220"/>
      <c r="D22" s="220"/>
      <c r="E22" s="220"/>
      <c r="F22" s="220"/>
      <c r="G22" s="220"/>
      <c r="H22" s="60"/>
      <c r="I22" s="66"/>
      <c r="J22" s="66"/>
      <c r="K22" s="66"/>
      <c r="L22" s="70"/>
      <c r="M22" s="70"/>
      <c r="N22" s="70"/>
      <c r="O22" s="70"/>
      <c r="P22" s="70"/>
      <c r="Q22" s="70"/>
    </row>
    <row r="23" spans="2:17" ht="18">
      <c r="B23" s="221" t="s">
        <v>58</v>
      </c>
      <c r="C23" s="221"/>
      <c r="D23" s="221"/>
      <c r="E23" s="221"/>
      <c r="F23" s="221"/>
      <c r="G23" s="221"/>
      <c r="H23" s="55">
        <f>IF(H3&lt;&gt;"",SUM(H16:H22),"")</f>
        <v>36.458750000000002</v>
      </c>
      <c r="I23" s="55">
        <f t="shared" ref="I23:Q23" si="2">IF(I3&lt;&gt;"",SUM(I16:I22),"")</f>
        <v>40.308750000000003</v>
      </c>
      <c r="J23" s="55">
        <f t="shared" si="2"/>
        <v>44.473750000000003</v>
      </c>
      <c r="K23" s="55">
        <f t="shared" si="2"/>
        <v>48.323750000000004</v>
      </c>
      <c r="L23" s="67">
        <f t="shared" si="2"/>
        <v>52.488750000000003</v>
      </c>
      <c r="M23" s="67">
        <f t="shared" si="2"/>
        <v>55.988750000000003</v>
      </c>
      <c r="N23" s="67">
        <f t="shared" si="2"/>
        <v>59.296250000000008</v>
      </c>
      <c r="O23" s="67">
        <f t="shared" si="2"/>
        <v>61.36825000000001</v>
      </c>
      <c r="P23" s="67">
        <f t="shared" si="2"/>
        <v>64.868250000000018</v>
      </c>
      <c r="Q23" s="67">
        <f t="shared" si="2"/>
        <v>68.368250000000003</v>
      </c>
    </row>
    <row r="24" spans="2:17" ht="18">
      <c r="B24" s="222" t="s">
        <v>59</v>
      </c>
      <c r="C24" s="222"/>
      <c r="D24" s="222"/>
      <c r="E24" s="222"/>
      <c r="F24" s="222"/>
      <c r="G24" s="222"/>
      <c r="H24" s="55">
        <f t="shared" ref="H24:Q24" si="3">IF(H3&lt;&gt;"",H11+H23,"")</f>
        <v>65.919687500000009</v>
      </c>
      <c r="I24" s="62">
        <f t="shared" si="3"/>
        <v>69.769687500000003</v>
      </c>
      <c r="J24" s="62">
        <f t="shared" si="3"/>
        <v>73.93468750000001</v>
      </c>
      <c r="K24" s="62">
        <f t="shared" si="3"/>
        <v>77.784687500000004</v>
      </c>
      <c r="L24" s="67">
        <f t="shared" si="3"/>
        <v>81.94968750000001</v>
      </c>
      <c r="M24" s="67">
        <f t="shared" si="3"/>
        <v>85.44968750000001</v>
      </c>
      <c r="N24" s="67">
        <f t="shared" si="3"/>
        <v>88.757187500000015</v>
      </c>
      <c r="O24" s="67">
        <f t="shared" si="3"/>
        <v>76.316687500000015</v>
      </c>
      <c r="P24" s="67">
        <f t="shared" si="3"/>
        <v>79.816687500000015</v>
      </c>
      <c r="Q24" s="67">
        <f t="shared" si="3"/>
        <v>83.3166875</v>
      </c>
    </row>
    <row r="25" spans="2:17" ht="18">
      <c r="B25" s="226" t="s">
        <v>60</v>
      </c>
      <c r="C25" s="226"/>
      <c r="D25" s="226"/>
      <c r="E25" s="226"/>
      <c r="F25" s="226"/>
      <c r="G25" s="226"/>
      <c r="H25" s="58">
        <f>IF(H3&lt;&gt;"",'Cattle type'!H7*'Cattle type'!J7+'Cattle type'!L7*'Cattle type'!N7,"")</f>
        <v>254</v>
      </c>
      <c r="I25" s="64">
        <f>IF(I3&lt;&gt;"",'Cattle type'!H8*'Cattle type'!J8+'Cattle type'!L8*'Cattle type'!N8,"")</f>
        <v>264</v>
      </c>
      <c r="J25" s="64">
        <f>IF(J3&lt;&gt;"",'Cattle type'!H9*'Cattle type'!J9+'Cattle type'!L9*'Cattle type'!N9,"")</f>
        <v>283</v>
      </c>
      <c r="K25" s="64">
        <f>IF(K3&lt;&gt;"",'Cattle type'!H10*'Cattle type'!J10+'Cattle type'!L10*'Cattle type'!N10,"")</f>
        <v>292.99999999999994</v>
      </c>
      <c r="L25" s="68">
        <f>IF(L3&lt;&gt;"",'Cattle type'!H11*'Cattle type'!J11+'Cattle type'!L11*'Cattle type'!N11,"")</f>
        <v>312</v>
      </c>
      <c r="M25" s="68">
        <f>IF(M3&lt;&gt;"",'Cattle type'!H12*'Cattle type'!J12+'Cattle type'!L12*'Cattle type'!N12,"")</f>
        <v>312</v>
      </c>
      <c r="N25" s="68">
        <f>IF(N3&lt;&gt;"",'Cattle type'!H13*'Cattle type'!J13+'Cattle type'!L13*'Cattle type'!N13,"")</f>
        <v>306.5</v>
      </c>
      <c r="O25" s="68">
        <f>IF(O3&lt;&gt;"",'Cattle type'!H14*'Cattle type'!J14+'Cattle type'!L14*'Cattle type'!N14,"")</f>
        <v>265.7</v>
      </c>
      <c r="P25" s="68">
        <f>IF(P3&lt;&gt;"",'Cattle type'!H15*'Cattle type'!J15+'Cattle type'!L15*'Cattle type'!N15,"")</f>
        <v>265.7</v>
      </c>
      <c r="Q25" s="68">
        <f>IF(Q3&lt;&gt;"",'Cattle type'!H16*'Cattle type'!J16+'Cattle type'!L16*'Cattle type'!N16,"")</f>
        <v>265.7</v>
      </c>
    </row>
    <row r="26" spans="2:17">
      <c r="B26" s="237" t="s">
        <v>61</v>
      </c>
      <c r="C26" s="238"/>
      <c r="D26" s="238"/>
      <c r="E26" s="238"/>
      <c r="F26" s="238"/>
      <c r="G26" s="238"/>
      <c r="H26" s="236">
        <f t="shared" ref="H26:Q26" si="4">IF(H3&lt;&gt;"",H24/H25,"")</f>
        <v>0.25952632874015752</v>
      </c>
      <c r="I26" s="236">
        <f t="shared" si="4"/>
        <v>0.26427911931818182</v>
      </c>
      <c r="J26" s="236">
        <f t="shared" si="4"/>
        <v>0.26125331272084806</v>
      </c>
      <c r="K26" s="236">
        <f t="shared" si="4"/>
        <v>0.26547674914675773</v>
      </c>
      <c r="L26" s="244">
        <f t="shared" si="4"/>
        <v>0.26265925480769237</v>
      </c>
      <c r="M26" s="244">
        <f t="shared" si="4"/>
        <v>0.27387720352564104</v>
      </c>
      <c r="N26" s="244">
        <f t="shared" si="4"/>
        <v>0.28958299347471456</v>
      </c>
      <c r="O26" s="244">
        <f t="shared" si="4"/>
        <v>0.28722878246142275</v>
      </c>
      <c r="P26" s="244">
        <f t="shared" si="4"/>
        <v>0.30040153368460676</v>
      </c>
      <c r="Q26" s="244">
        <f t="shared" si="4"/>
        <v>0.31357428490779077</v>
      </c>
    </row>
    <row r="27" spans="2:17" ht="26.25" customHeight="1">
      <c r="B27" s="239"/>
      <c r="C27" s="239"/>
      <c r="D27" s="239"/>
      <c r="E27" s="239"/>
      <c r="F27" s="239"/>
      <c r="G27" s="239"/>
      <c r="H27" s="236"/>
      <c r="I27" s="236"/>
      <c r="J27" s="236"/>
      <c r="K27" s="236"/>
      <c r="L27" s="244"/>
      <c r="M27" s="244"/>
      <c r="N27" s="244"/>
      <c r="O27" s="244"/>
      <c r="P27" s="244"/>
      <c r="Q27" s="244"/>
    </row>
    <row r="28" spans="2:17" ht="23.25" customHeight="1">
      <c r="B28" s="21"/>
      <c r="C28" s="21"/>
      <c r="D28" s="21"/>
      <c r="E28" s="21"/>
      <c r="F28" s="21"/>
      <c r="G28" s="21"/>
      <c r="H28" s="22">
        <f>'Cattle type'!$M7</f>
        <v>100</v>
      </c>
      <c r="I28" s="22">
        <f>'Cattle type'!$M8</f>
        <v>100</v>
      </c>
      <c r="J28" s="22">
        <f>'Cattle type'!$M9</f>
        <v>100</v>
      </c>
      <c r="K28" s="22">
        <f>'Cattle type'!$M10</f>
        <v>100</v>
      </c>
      <c r="L28" s="22">
        <f>'Cattle type'!$M11</f>
        <v>100</v>
      </c>
      <c r="M28" s="22">
        <f>'Cattle type'!$M12</f>
        <v>100</v>
      </c>
      <c r="N28" s="22">
        <f>'Cattle type'!$M13</f>
        <v>100</v>
      </c>
      <c r="O28" s="22">
        <f>'Cattle type'!$M14</f>
        <v>100</v>
      </c>
      <c r="P28" s="22">
        <f>'Cattle type'!$M15</f>
        <v>100</v>
      </c>
      <c r="Q28" s="22">
        <f>'Cattle type'!$M16</f>
        <v>100</v>
      </c>
    </row>
  </sheetData>
  <mergeCells count="45">
    <mergeCell ref="L26:L27"/>
    <mergeCell ref="M26:M27"/>
    <mergeCell ref="H2:Q2"/>
    <mergeCell ref="K26:K27"/>
    <mergeCell ref="J26:J27"/>
    <mergeCell ref="N26:N27"/>
    <mergeCell ref="O26:O27"/>
    <mergeCell ref="P26:P27"/>
    <mergeCell ref="Q26:Q27"/>
    <mergeCell ref="B8:E8"/>
    <mergeCell ref="F8:G8"/>
    <mergeCell ref="B2:G2"/>
    <mergeCell ref="B6:C6"/>
    <mergeCell ref="F6:G6"/>
    <mergeCell ref="B3:G3"/>
    <mergeCell ref="B4:G4"/>
    <mergeCell ref="B5:C5"/>
    <mergeCell ref="F5:G5"/>
    <mergeCell ref="B7:C7"/>
    <mergeCell ref="F7:G7"/>
    <mergeCell ref="B9:G9"/>
    <mergeCell ref="B10:G10"/>
    <mergeCell ref="B11:G11"/>
    <mergeCell ref="B12:G12"/>
    <mergeCell ref="B17:G17"/>
    <mergeCell ref="B13:C13"/>
    <mergeCell ref="D13:E13"/>
    <mergeCell ref="F13:G13"/>
    <mergeCell ref="B14:C14"/>
    <mergeCell ref="F14:G14"/>
    <mergeCell ref="B15:C15"/>
    <mergeCell ref="F15:G15"/>
    <mergeCell ref="B16:E16"/>
    <mergeCell ref="F16:G16"/>
    <mergeCell ref="B18:G18"/>
    <mergeCell ref="B24:G24"/>
    <mergeCell ref="B25:G25"/>
    <mergeCell ref="H26:H27"/>
    <mergeCell ref="I26:I27"/>
    <mergeCell ref="B26:G27"/>
    <mergeCell ref="B19:G19"/>
    <mergeCell ref="B20:G20"/>
    <mergeCell ref="B21:G21"/>
    <mergeCell ref="B22:G22"/>
    <mergeCell ref="B23:G23"/>
  </mergeCells>
  <dataValidations xWindow="1233" yWindow="338" count="5">
    <dataValidation allowBlank="1" showInputMessage="1" showErrorMessage="1" prompt="Enter mineral price (as fed) per ton." sqref="E7 E15" xr:uid="{00000000-0002-0000-0500-000000000000}"/>
    <dataValidation allowBlank="1" showInputMessage="1" showErrorMessage="1" prompt="Enter supplement  price (as fed) per ton." sqref="E6 E14" xr:uid="{00000000-0002-0000-0500-000001000000}"/>
    <dataValidation allowBlank="1" showInputMessage="1" showErrorMessage="1" prompt="Enter rental price." sqref="F13:G13" xr:uid="{00000000-0002-0000-0500-000002000000}"/>
    <dataValidation allowBlank="1" showInputMessage="1" showErrorMessage="1" prompt="Press ctrl+r to copy the current cell to the right." sqref="H5:Q22" xr:uid="{00000000-0002-0000-0500-000003000000}"/>
    <dataValidation allowBlank="1" showInputMessage="1" showErrorMessage="1" prompt="Enter hay price (as fed) per ton." sqref="E5" xr:uid="{00000000-0002-0000-0500-000004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return_to_heifers">
                <anchor moveWithCells="1" sizeWithCells="1">
                  <from>
                    <xdr:col>7</xdr:col>
                    <xdr:colOff>7620</xdr:colOff>
                    <xdr:row>30</xdr:row>
                    <xdr:rowOff>15240</xdr:rowOff>
                  </from>
                  <to>
                    <xdr:col>10</xdr:col>
                    <xdr:colOff>0</xdr:colOff>
                    <xdr:row>32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cancel_heifers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B4:M11"/>
  <sheetViews>
    <sheetView topLeftCell="A89" workbookViewId="0">
      <selection activeCell="H106" sqref="H106"/>
    </sheetView>
  </sheetViews>
  <sheetFormatPr defaultRowHeight="14.4"/>
  <cols>
    <col min="7" max="7" width="5.5546875" customWidth="1"/>
    <col min="11" max="11" width="4.5546875" customWidth="1"/>
  </cols>
  <sheetData>
    <row r="4" spans="2:13">
      <c r="B4" s="257" t="s">
        <v>63</v>
      </c>
      <c r="C4" s="257"/>
      <c r="D4" s="257"/>
      <c r="E4" s="257"/>
      <c r="F4" s="257"/>
      <c r="G4" s="257"/>
      <c r="H4" s="257"/>
      <c r="I4" s="257"/>
      <c r="J4" s="258"/>
      <c r="K4" s="258"/>
      <c r="L4" s="258"/>
      <c r="M4" s="258"/>
    </row>
    <row r="5" spans="2:13">
      <c r="B5" s="257"/>
      <c r="C5" s="257"/>
      <c r="D5" s="257"/>
      <c r="E5" s="257"/>
      <c r="F5" s="257"/>
      <c r="G5" s="257"/>
      <c r="H5" s="257"/>
      <c r="I5" s="257"/>
      <c r="J5" s="258"/>
      <c r="K5" s="258"/>
      <c r="L5" s="258"/>
      <c r="M5" s="258"/>
    </row>
    <row r="6" spans="2:13">
      <c r="B6" s="257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</row>
    <row r="7" spans="2:13" ht="23.25" customHeight="1">
      <c r="B7" s="249"/>
      <c r="C7" s="250"/>
      <c r="D7" s="250"/>
      <c r="E7" s="251"/>
      <c r="F7" s="259" t="s">
        <v>8</v>
      </c>
      <c r="G7" s="259"/>
      <c r="H7" s="259"/>
      <c r="I7" s="259"/>
      <c r="J7" s="245" t="s">
        <v>9</v>
      </c>
      <c r="K7" s="245"/>
      <c r="L7" s="245"/>
      <c r="M7" s="245"/>
    </row>
    <row r="8" spans="2:13" ht="23.25" customHeight="1">
      <c r="B8" s="252"/>
      <c r="C8" s="253"/>
      <c r="D8" s="253"/>
      <c r="E8" s="254"/>
      <c r="F8" s="245" t="s">
        <v>64</v>
      </c>
      <c r="G8" s="260"/>
      <c r="H8" s="247" t="s">
        <v>65</v>
      </c>
      <c r="I8" s="261"/>
      <c r="J8" s="245" t="s">
        <v>64</v>
      </c>
      <c r="K8" s="246"/>
      <c r="L8" s="247" t="s">
        <v>65</v>
      </c>
      <c r="M8" s="248"/>
    </row>
    <row r="9" spans="2:13" ht="21">
      <c r="B9" s="256" t="s">
        <v>66</v>
      </c>
      <c r="C9" s="256"/>
      <c r="D9" s="256"/>
      <c r="E9" s="256"/>
      <c r="F9" s="262">
        <f>MAX(Steers!F22:O22)</f>
        <v>137.84930843835616</v>
      </c>
      <c r="G9" s="263"/>
      <c r="H9" s="255">
        <v>325</v>
      </c>
      <c r="I9" s="255"/>
      <c r="J9" s="262">
        <f>MAX(Heifers!F22:O22)</f>
        <v>72.112792621107701</v>
      </c>
      <c r="K9" s="263"/>
      <c r="L9" s="255">
        <v>325</v>
      </c>
      <c r="M9" s="255"/>
    </row>
    <row r="10" spans="2:13" ht="21">
      <c r="B10" s="256" t="s">
        <v>67</v>
      </c>
      <c r="C10" s="256"/>
      <c r="D10" s="256"/>
      <c r="E10" s="256"/>
      <c r="F10" s="262">
        <f>MAX(Steers!F25:O25)</f>
        <v>155.1566182479452</v>
      </c>
      <c r="G10" s="263"/>
      <c r="H10" s="255">
        <v>325</v>
      </c>
      <c r="I10" s="255"/>
      <c r="J10" s="262">
        <f>MAX(Heifers!F25:O25)</f>
        <v>84.547095808199145</v>
      </c>
      <c r="K10" s="263"/>
      <c r="L10" s="255">
        <v>425</v>
      </c>
      <c r="M10" s="255"/>
    </row>
    <row r="11" spans="2:13" ht="21">
      <c r="B11" s="256" t="s">
        <v>68</v>
      </c>
      <c r="C11" s="256"/>
      <c r="D11" s="256"/>
      <c r="E11" s="256"/>
      <c r="F11" s="262">
        <f>MIN(Steers!F24:O24)</f>
        <v>94.696804945957652</v>
      </c>
      <c r="G11" s="263"/>
      <c r="H11" s="255">
        <v>525</v>
      </c>
      <c r="I11" s="255"/>
      <c r="J11" s="262">
        <f>MIN(Heifers!F24:O24)</f>
        <v>86.418017359446935</v>
      </c>
      <c r="K11" s="263"/>
      <c r="L11" s="255">
        <v>475</v>
      </c>
      <c r="M11" s="255"/>
    </row>
  </sheetData>
  <mergeCells count="23">
    <mergeCell ref="L11:M11"/>
    <mergeCell ref="B4:M6"/>
    <mergeCell ref="F7:I7"/>
    <mergeCell ref="J7:M7"/>
    <mergeCell ref="F8:G8"/>
    <mergeCell ref="H8:I8"/>
    <mergeCell ref="B10:E10"/>
    <mergeCell ref="B11:E11"/>
    <mergeCell ref="H11:I11"/>
    <mergeCell ref="J9:K9"/>
    <mergeCell ref="J10:K10"/>
    <mergeCell ref="J11:K11"/>
    <mergeCell ref="F9:G9"/>
    <mergeCell ref="F10:G10"/>
    <mergeCell ref="F11:G11"/>
    <mergeCell ref="H9:I9"/>
    <mergeCell ref="J8:K8"/>
    <mergeCell ref="L8:M8"/>
    <mergeCell ref="B7:E8"/>
    <mergeCell ref="L9:M9"/>
    <mergeCell ref="L10:M10"/>
    <mergeCell ref="H10:I10"/>
    <mergeCell ref="B9:E9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13"/>
  <sheetViews>
    <sheetView workbookViewId="0"/>
  </sheetViews>
  <sheetFormatPr defaultRowHeight="14.4"/>
  <sheetData>
    <row r="1" spans="1:7">
      <c r="A1" s="52" t="s">
        <v>163</v>
      </c>
    </row>
    <row r="4" spans="1:7">
      <c r="A4">
        <v>300</v>
      </c>
      <c r="B4">
        <v>0</v>
      </c>
      <c r="C4">
        <v>1</v>
      </c>
      <c r="E4">
        <v>126.59</v>
      </c>
    </row>
    <row r="5" spans="1:7">
      <c r="A5">
        <v>350</v>
      </c>
      <c r="B5">
        <v>1</v>
      </c>
      <c r="C5">
        <v>2</v>
      </c>
      <c r="D5">
        <v>126.59</v>
      </c>
      <c r="E5">
        <v>123.52</v>
      </c>
      <c r="G5">
        <v>104.05</v>
      </c>
    </row>
    <row r="6" spans="1:7">
      <c r="A6">
        <v>400</v>
      </c>
      <c r="B6">
        <v>2</v>
      </c>
      <c r="C6">
        <v>3</v>
      </c>
      <c r="D6">
        <v>123.52</v>
      </c>
      <c r="E6">
        <v>116.19</v>
      </c>
      <c r="F6">
        <v>104.05</v>
      </c>
      <c r="G6">
        <v>102.43</v>
      </c>
    </row>
    <row r="7" spans="1:7">
      <c r="A7">
        <v>450</v>
      </c>
      <c r="B7">
        <v>3</v>
      </c>
      <c r="C7">
        <v>4</v>
      </c>
      <c r="D7">
        <v>116.19</v>
      </c>
      <c r="E7">
        <v>112.66</v>
      </c>
      <c r="F7">
        <v>102.43</v>
      </c>
      <c r="G7">
        <v>98.6</v>
      </c>
    </row>
    <row r="8" spans="1:7">
      <c r="A8">
        <v>500</v>
      </c>
      <c r="B8">
        <v>4</v>
      </c>
      <c r="C8">
        <v>5</v>
      </c>
      <c r="D8">
        <v>112.66</v>
      </c>
      <c r="E8">
        <v>109.21</v>
      </c>
      <c r="F8">
        <v>98.6</v>
      </c>
      <c r="G8">
        <v>98.2</v>
      </c>
    </row>
    <row r="9" spans="1:7">
      <c r="A9">
        <v>550</v>
      </c>
      <c r="B9">
        <v>5</v>
      </c>
      <c r="C9">
        <v>6</v>
      </c>
      <c r="D9">
        <v>109.21</v>
      </c>
      <c r="E9">
        <v>106.56</v>
      </c>
      <c r="F9">
        <v>98.2</v>
      </c>
      <c r="G9">
        <v>96.18</v>
      </c>
    </row>
    <row r="10" spans="1:7">
      <c r="A10">
        <v>600</v>
      </c>
      <c r="B10">
        <v>6</v>
      </c>
      <c r="C10">
        <v>7</v>
      </c>
      <c r="D10">
        <v>106.56</v>
      </c>
      <c r="E10">
        <v>104.05</v>
      </c>
      <c r="F10">
        <v>96.18</v>
      </c>
      <c r="G10">
        <v>96.16</v>
      </c>
    </row>
    <row r="11" spans="1:7">
      <c r="A11">
        <v>650</v>
      </c>
      <c r="B11">
        <v>7</v>
      </c>
      <c r="C11">
        <v>8</v>
      </c>
      <c r="D11">
        <v>104.05</v>
      </c>
      <c r="E11">
        <v>101.87</v>
      </c>
      <c r="F11">
        <v>96.16</v>
      </c>
      <c r="G11">
        <v>95.79</v>
      </c>
    </row>
    <row r="12" spans="1:7">
      <c r="A12">
        <v>700</v>
      </c>
      <c r="B12">
        <v>8</v>
      </c>
      <c r="C12">
        <v>9</v>
      </c>
      <c r="D12">
        <v>101.87</v>
      </c>
      <c r="E12">
        <v>101.58</v>
      </c>
      <c r="F12">
        <v>95.79</v>
      </c>
      <c r="G12">
        <v>93.88</v>
      </c>
    </row>
    <row r="13" spans="1:7">
      <c r="A13">
        <v>750</v>
      </c>
      <c r="B13">
        <v>9</v>
      </c>
      <c r="C13">
        <v>10</v>
      </c>
      <c r="D13">
        <v>101.58</v>
      </c>
      <c r="E13">
        <v>98.29</v>
      </c>
      <c r="F13">
        <v>93.88</v>
      </c>
      <c r="G13">
        <v>91.08</v>
      </c>
    </row>
  </sheetData>
  <hyperlinks>
    <hyperlink ref="A1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Q30"/>
  <sheetViews>
    <sheetView workbookViewId="0">
      <selection sqref="A1:AR20"/>
    </sheetView>
  </sheetViews>
  <sheetFormatPr defaultRowHeight="14.4"/>
  <cols>
    <col min="1" max="1" width="10.6640625" customWidth="1"/>
  </cols>
  <sheetData>
    <row r="1" spans="1:69" ht="15.6">
      <c r="A1" s="79">
        <v>40018</v>
      </c>
      <c r="B1" s="24" t="s">
        <v>83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6"/>
      <c r="T1" s="26"/>
      <c r="U1" s="26"/>
      <c r="V1" s="26"/>
      <c r="W1" s="26"/>
      <c r="X1" s="27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  <c r="AK1" s="27"/>
      <c r="AL1" s="26"/>
      <c r="AM1" s="26"/>
      <c r="AN1" s="26"/>
      <c r="AO1" s="26"/>
      <c r="AP1" s="28"/>
      <c r="AQ1" s="28"/>
      <c r="AR1" s="28"/>
    </row>
    <row r="2" spans="1:69" ht="15.6">
      <c r="A2" s="29" t="s">
        <v>84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  <c r="T2" s="26"/>
      <c r="U2" s="26"/>
      <c r="V2" s="26"/>
      <c r="W2" s="26"/>
      <c r="X2" s="27"/>
      <c r="Y2" s="27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7"/>
      <c r="AL2" s="26"/>
      <c r="AM2" s="26"/>
      <c r="AN2" s="26"/>
      <c r="AO2" s="26"/>
      <c r="AP2" s="28"/>
      <c r="AQ2" s="28"/>
      <c r="AR2" s="28"/>
    </row>
    <row r="3" spans="1:69" ht="15.6">
      <c r="A3" s="29" t="s">
        <v>85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6"/>
      <c r="T3" s="26"/>
      <c r="U3" s="26"/>
      <c r="V3" s="26"/>
      <c r="W3" s="26"/>
      <c r="X3" s="27"/>
      <c r="Y3" s="27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  <c r="AK3" s="27"/>
      <c r="AL3" s="26"/>
      <c r="AM3" s="26"/>
      <c r="AN3" s="26"/>
      <c r="AO3" s="26"/>
      <c r="AP3" s="28"/>
      <c r="AQ3" s="28"/>
      <c r="AR3" s="28"/>
    </row>
    <row r="4" spans="1:69" ht="15.6">
      <c r="A4" s="30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6"/>
      <c r="T4" s="26"/>
      <c r="U4" s="26"/>
      <c r="V4" s="26"/>
      <c r="W4" s="26"/>
      <c r="X4" s="27"/>
      <c r="Y4" s="27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  <c r="AK4" s="27"/>
      <c r="AL4" s="26"/>
      <c r="AM4" s="26"/>
      <c r="AN4" s="26"/>
      <c r="AO4" s="26"/>
      <c r="AP4" s="28"/>
      <c r="AQ4" s="28"/>
      <c r="AR4" s="28"/>
    </row>
    <row r="5" spans="1:69" ht="15.6">
      <c r="A5" s="30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6"/>
      <c r="T5" s="26"/>
      <c r="U5" s="26"/>
      <c r="V5" s="26"/>
      <c r="W5" s="26"/>
      <c r="X5" s="27"/>
      <c r="Y5" s="27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7"/>
      <c r="AL5" s="26"/>
      <c r="AM5" s="26"/>
      <c r="AN5" s="26"/>
      <c r="AO5" s="26"/>
      <c r="AP5" s="28"/>
      <c r="AQ5" s="28"/>
      <c r="AR5" s="28"/>
    </row>
    <row r="6" spans="1:69" ht="15.6">
      <c r="A6" s="30"/>
      <c r="B6" s="24"/>
      <c r="C6" s="25" t="s">
        <v>86</v>
      </c>
      <c r="D6" s="25" t="s">
        <v>87</v>
      </c>
      <c r="E6" s="26"/>
      <c r="F6" s="26"/>
      <c r="G6" s="25" t="s">
        <v>88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7"/>
      <c r="Y6" s="27"/>
      <c r="Z6" s="25" t="s">
        <v>89</v>
      </c>
      <c r="AA6" s="26"/>
      <c r="AB6" s="26"/>
      <c r="AC6" s="25" t="s">
        <v>88</v>
      </c>
      <c r="AD6" s="26"/>
      <c r="AE6" s="26"/>
      <c r="AF6" s="26"/>
      <c r="AG6" s="26"/>
      <c r="AH6" s="26"/>
      <c r="AI6" s="26"/>
      <c r="AJ6" s="27"/>
      <c r="AK6" s="27"/>
      <c r="AL6" s="26"/>
      <c r="AM6" s="26"/>
      <c r="AN6" s="26"/>
      <c r="AO6" s="26"/>
      <c r="AP6" s="28"/>
      <c r="AQ6" s="28"/>
      <c r="AR6" s="28"/>
    </row>
    <row r="7" spans="1:69" ht="15.6">
      <c r="A7" s="31" t="s">
        <v>90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6"/>
      <c r="T7" s="26"/>
      <c r="U7" s="26"/>
      <c r="V7" s="26"/>
      <c r="W7" s="26"/>
      <c r="X7" s="27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7"/>
      <c r="AL7" s="26"/>
      <c r="AM7" s="26"/>
      <c r="AN7" s="26"/>
      <c r="AO7" s="26"/>
      <c r="AP7" s="28"/>
      <c r="AQ7" s="28"/>
      <c r="AR7" s="28"/>
    </row>
    <row r="8" spans="1:69" ht="15.6">
      <c r="A8" s="30"/>
      <c r="B8" s="32" t="s">
        <v>91</v>
      </c>
      <c r="C8" s="33" t="s">
        <v>92</v>
      </c>
      <c r="D8" s="33" t="s">
        <v>93</v>
      </c>
      <c r="E8" s="33" t="s">
        <v>94</v>
      </c>
      <c r="F8" s="33" t="s">
        <v>95</v>
      </c>
      <c r="G8" s="33" t="s">
        <v>96</v>
      </c>
      <c r="H8" s="33" t="s">
        <v>97</v>
      </c>
      <c r="I8" s="33" t="s">
        <v>98</v>
      </c>
      <c r="J8" s="33" t="s">
        <v>99</v>
      </c>
      <c r="K8" s="33" t="s">
        <v>100</v>
      </c>
      <c r="L8" s="33" t="s">
        <v>101</v>
      </c>
      <c r="M8" s="33" t="s">
        <v>102</v>
      </c>
      <c r="N8" s="33" t="s">
        <v>103</v>
      </c>
      <c r="O8" s="33" t="s">
        <v>104</v>
      </c>
      <c r="P8" s="33" t="s">
        <v>105</v>
      </c>
      <c r="Q8" s="33" t="s">
        <v>106</v>
      </c>
      <c r="R8" s="34" t="s">
        <v>107</v>
      </c>
      <c r="S8" s="33" t="s">
        <v>108</v>
      </c>
      <c r="T8" s="33" t="s">
        <v>109</v>
      </c>
      <c r="U8" s="33" t="s">
        <v>110</v>
      </c>
      <c r="V8" s="33"/>
      <c r="W8" s="33" t="s">
        <v>111</v>
      </c>
      <c r="X8" s="34" t="s">
        <v>112</v>
      </c>
      <c r="Y8" s="34" t="s">
        <v>113</v>
      </c>
      <c r="Z8" s="33" t="s">
        <v>114</v>
      </c>
      <c r="AA8" s="33" t="s">
        <v>115</v>
      </c>
      <c r="AB8" s="33" t="s">
        <v>116</v>
      </c>
      <c r="AC8" s="33" t="s">
        <v>117</v>
      </c>
      <c r="AD8" s="33" t="s">
        <v>118</v>
      </c>
      <c r="AE8" s="33" t="s">
        <v>119</v>
      </c>
      <c r="AF8" s="33" t="s">
        <v>120</v>
      </c>
      <c r="AG8" s="33" t="s">
        <v>121</v>
      </c>
      <c r="AH8" s="33" t="s">
        <v>122</v>
      </c>
      <c r="AI8" s="33" t="s">
        <v>123</v>
      </c>
      <c r="AJ8" s="34" t="s">
        <v>124</v>
      </c>
      <c r="AK8" s="34" t="s">
        <v>125</v>
      </c>
      <c r="AL8" s="32" t="s">
        <v>126</v>
      </c>
      <c r="AM8" s="32" t="s">
        <v>127</v>
      </c>
      <c r="AN8" s="32" t="s">
        <v>128</v>
      </c>
      <c r="AO8" s="32" t="s">
        <v>129</v>
      </c>
      <c r="AP8" s="28"/>
      <c r="AQ8" s="28"/>
      <c r="AR8" s="28"/>
    </row>
    <row r="9" spans="1:69" ht="15.6">
      <c r="A9" s="30"/>
      <c r="B9" s="32"/>
      <c r="C9" s="3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6"/>
      <c r="T9" s="26"/>
      <c r="U9" s="26"/>
      <c r="V9" s="26"/>
      <c r="W9" s="33" t="s">
        <v>111</v>
      </c>
      <c r="X9" s="34"/>
      <c r="Y9" s="34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7"/>
      <c r="AL9" s="26"/>
      <c r="AM9" s="26"/>
      <c r="AN9" s="26"/>
      <c r="AO9" s="26"/>
      <c r="AP9" s="26"/>
      <c r="AQ9" s="28"/>
      <c r="AR9" s="28"/>
    </row>
    <row r="10" spans="1:69" ht="15.6">
      <c r="A10" s="30"/>
      <c r="B10" s="32" t="s">
        <v>130</v>
      </c>
      <c r="C10" s="33" t="s">
        <v>131</v>
      </c>
      <c r="D10" s="33" t="s">
        <v>132</v>
      </c>
      <c r="E10" s="33" t="s">
        <v>133</v>
      </c>
      <c r="F10" s="33" t="s">
        <v>134</v>
      </c>
      <c r="G10" s="33" t="s">
        <v>135</v>
      </c>
      <c r="H10" s="33" t="s">
        <v>136</v>
      </c>
      <c r="I10" s="33" t="s">
        <v>137</v>
      </c>
      <c r="J10" s="33" t="s">
        <v>138</v>
      </c>
      <c r="K10" s="33" t="s">
        <v>139</v>
      </c>
      <c r="L10" s="33" t="s">
        <v>140</v>
      </c>
      <c r="M10" s="33" t="s">
        <v>141</v>
      </c>
      <c r="N10" s="33" t="s">
        <v>142</v>
      </c>
      <c r="O10" s="33" t="s">
        <v>143</v>
      </c>
      <c r="P10" s="33" t="s">
        <v>144</v>
      </c>
      <c r="Q10" s="33" t="s">
        <v>145</v>
      </c>
      <c r="R10" s="34" t="s">
        <v>146</v>
      </c>
      <c r="S10" s="33" t="s">
        <v>147</v>
      </c>
      <c r="T10" s="33" t="s">
        <v>148</v>
      </c>
      <c r="U10" s="33" t="s">
        <v>149</v>
      </c>
      <c r="V10" s="33" t="s">
        <v>150</v>
      </c>
      <c r="W10" s="33" t="s">
        <v>111</v>
      </c>
      <c r="X10" s="34" t="s">
        <v>130</v>
      </c>
      <c r="Y10" s="34" t="s">
        <v>131</v>
      </c>
      <c r="Z10" s="33" t="s">
        <v>132</v>
      </c>
      <c r="AA10" s="33" t="s">
        <v>133</v>
      </c>
      <c r="AB10" s="33" t="s">
        <v>134</v>
      </c>
      <c r="AC10" s="33" t="s">
        <v>135</v>
      </c>
      <c r="AD10" s="33" t="s">
        <v>136</v>
      </c>
      <c r="AE10" s="33" t="s">
        <v>137</v>
      </c>
      <c r="AF10" s="33" t="s">
        <v>138</v>
      </c>
      <c r="AG10" s="33" t="s">
        <v>139</v>
      </c>
      <c r="AH10" s="33" t="s">
        <v>140</v>
      </c>
      <c r="AI10" s="33" t="s">
        <v>141</v>
      </c>
      <c r="AJ10" s="34" t="s">
        <v>142</v>
      </c>
      <c r="AK10" s="34" t="s">
        <v>143</v>
      </c>
      <c r="AL10" s="32" t="s">
        <v>144</v>
      </c>
      <c r="AM10" s="32" t="s">
        <v>145</v>
      </c>
      <c r="AN10" s="26" t="s">
        <v>146</v>
      </c>
      <c r="AO10" s="26" t="s">
        <v>147</v>
      </c>
      <c r="AP10" s="26" t="s">
        <v>148</v>
      </c>
      <c r="AQ10" s="26" t="s">
        <v>149</v>
      </c>
      <c r="AR10" s="26" t="s">
        <v>150</v>
      </c>
    </row>
    <row r="11" spans="1:69" ht="15.6">
      <c r="A11" s="36">
        <v>40019</v>
      </c>
      <c r="B11" s="35"/>
      <c r="C11" s="35"/>
      <c r="D11" s="35"/>
      <c r="E11" s="35"/>
      <c r="F11" s="35">
        <v>113.5</v>
      </c>
      <c r="G11" s="35">
        <v>112.64</v>
      </c>
      <c r="H11" s="35">
        <v>109.42</v>
      </c>
      <c r="I11" s="35">
        <v>108.37</v>
      </c>
      <c r="J11" s="35">
        <v>106.75</v>
      </c>
      <c r="K11" s="35">
        <v>105.55</v>
      </c>
      <c r="L11" s="35">
        <v>103.02</v>
      </c>
      <c r="M11" s="35">
        <v>102.65</v>
      </c>
      <c r="N11" s="35">
        <v>101.26</v>
      </c>
      <c r="O11" s="35">
        <v>100.37</v>
      </c>
      <c r="P11" s="35">
        <v>97.22</v>
      </c>
      <c r="Q11" s="35">
        <v>94.81</v>
      </c>
      <c r="R11" s="35">
        <v>90.25</v>
      </c>
      <c r="S11" s="35">
        <v>91.1</v>
      </c>
      <c r="T11" s="35"/>
      <c r="U11" s="35"/>
      <c r="V11" s="35"/>
      <c r="W11" s="35"/>
      <c r="X11" s="35"/>
      <c r="Y11" s="35">
        <v>109</v>
      </c>
      <c r="Z11" s="35"/>
      <c r="AA11" s="35">
        <v>106</v>
      </c>
      <c r="AB11" s="35">
        <v>108</v>
      </c>
      <c r="AC11" s="35">
        <v>104.22</v>
      </c>
      <c r="AD11" s="35">
        <v>103</v>
      </c>
      <c r="AE11" s="35">
        <v>100.71</v>
      </c>
      <c r="AF11" s="35">
        <v>100.84</v>
      </c>
      <c r="AG11" s="35">
        <v>99.94</v>
      </c>
      <c r="AH11" s="35">
        <v>98.47</v>
      </c>
      <c r="AI11" s="35">
        <v>97.42</v>
      </c>
      <c r="AJ11" s="35">
        <v>92.83</v>
      </c>
      <c r="AK11" s="35">
        <v>91</v>
      </c>
      <c r="AL11" s="35">
        <v>86.87</v>
      </c>
      <c r="AM11" s="35">
        <v>83</v>
      </c>
      <c r="AN11" s="35"/>
      <c r="AO11" s="35"/>
      <c r="AP11" s="35">
        <v>78</v>
      </c>
      <c r="AQ11" s="35"/>
      <c r="AR11" s="35"/>
      <c r="AS11" s="26"/>
      <c r="AT11" s="26"/>
      <c r="AU11" s="26"/>
      <c r="AV11" s="26"/>
      <c r="AW11" s="27"/>
      <c r="AX11" s="27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7"/>
      <c r="BJ11" s="27"/>
      <c r="BK11" s="26"/>
      <c r="BL11" s="26"/>
      <c r="BM11" s="26"/>
      <c r="BN11" s="26"/>
      <c r="BO11" s="28"/>
      <c r="BP11" s="28"/>
      <c r="BQ11" s="28"/>
    </row>
    <row r="12" spans="1:69" ht="16.5" customHeight="1">
      <c r="C12" t="s">
        <v>151</v>
      </c>
      <c r="AS12" s="26"/>
      <c r="AT12" s="26"/>
      <c r="AU12" s="26"/>
      <c r="AV12" s="26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/>
      <c r="BJ12" s="27"/>
      <c r="BK12" s="26"/>
      <c r="BL12" s="26"/>
      <c r="BM12" s="26"/>
      <c r="BN12" s="26"/>
      <c r="BO12" s="28"/>
      <c r="BP12" s="28"/>
      <c r="BQ12" s="28"/>
    </row>
    <row r="13" spans="1:69" ht="15.6">
      <c r="A13" s="36">
        <v>40018</v>
      </c>
      <c r="B13" s="38"/>
      <c r="C13" s="38"/>
      <c r="D13" s="39">
        <v>119.2</v>
      </c>
      <c r="E13" s="39">
        <v>117.77</v>
      </c>
      <c r="F13" s="39">
        <v>112.08</v>
      </c>
      <c r="G13" s="39">
        <v>109.33</v>
      </c>
      <c r="H13" s="39">
        <v>106.18</v>
      </c>
      <c r="I13" s="39">
        <v>106.62</v>
      </c>
      <c r="J13" s="39">
        <v>106.83</v>
      </c>
      <c r="K13" s="39">
        <v>104.82</v>
      </c>
      <c r="L13" s="39">
        <v>103.45</v>
      </c>
      <c r="M13" s="39">
        <v>102.71</v>
      </c>
      <c r="N13" s="39">
        <v>101.44</v>
      </c>
      <c r="O13" s="39">
        <v>99.95</v>
      </c>
      <c r="P13" s="39">
        <v>97.01</v>
      </c>
      <c r="Q13" s="39">
        <v>94.46</v>
      </c>
      <c r="R13" s="39">
        <v>93.9</v>
      </c>
      <c r="S13" s="39">
        <v>92.38</v>
      </c>
      <c r="T13" s="39"/>
      <c r="U13" s="39"/>
      <c r="V13" s="39"/>
      <c r="W13" s="39"/>
      <c r="X13" s="39"/>
      <c r="Y13" s="39"/>
      <c r="Z13" s="39">
        <v>106.77</v>
      </c>
      <c r="AA13" s="39">
        <v>103.59</v>
      </c>
      <c r="AB13" s="39">
        <v>102.21</v>
      </c>
      <c r="AC13" s="39">
        <v>100.67</v>
      </c>
      <c r="AD13" s="39">
        <v>100.21</v>
      </c>
      <c r="AE13" s="39">
        <v>99.08</v>
      </c>
      <c r="AF13" s="39">
        <v>100.5</v>
      </c>
      <c r="AG13" s="39">
        <v>99.61</v>
      </c>
      <c r="AH13" s="39">
        <v>98.51</v>
      </c>
      <c r="AI13" s="39">
        <v>96.55</v>
      </c>
      <c r="AJ13" s="39">
        <v>94.02</v>
      </c>
      <c r="AK13" s="39">
        <v>90.25</v>
      </c>
      <c r="AL13" s="80">
        <v>89.74</v>
      </c>
      <c r="AM13" s="80">
        <v>85.91</v>
      </c>
      <c r="AN13" s="80"/>
      <c r="AO13" s="81"/>
      <c r="AP13" s="81"/>
      <c r="AQ13" s="81"/>
      <c r="AS13" s="26"/>
      <c r="AT13" s="26"/>
      <c r="AU13" s="26"/>
      <c r="AV13" s="26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/>
      <c r="BJ13" s="27"/>
      <c r="BK13" s="26"/>
      <c r="BL13" s="26"/>
      <c r="BM13" s="26"/>
      <c r="BN13" s="26"/>
      <c r="BO13" s="28"/>
      <c r="BP13" s="28"/>
      <c r="BQ13" s="28"/>
    </row>
    <row r="14" spans="1:69" ht="15.6">
      <c r="AS14" s="26"/>
      <c r="AT14" s="26"/>
      <c r="AU14" s="26"/>
      <c r="AV14" s="26"/>
      <c r="AW14" s="27"/>
      <c r="AX14" s="27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7"/>
      <c r="BK14" s="26"/>
      <c r="BL14" s="26"/>
      <c r="BM14" s="26"/>
      <c r="BN14" s="26"/>
      <c r="BO14" s="28"/>
      <c r="BP14" s="28"/>
      <c r="BQ14" s="28"/>
    </row>
    <row r="15" spans="1:69" ht="15.6">
      <c r="AS15" s="26"/>
      <c r="AT15" s="26"/>
      <c r="AU15" s="26"/>
      <c r="AV15" s="26"/>
      <c r="AW15" s="27"/>
      <c r="AX15" s="27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7"/>
      <c r="BJ15" s="27"/>
      <c r="BK15" s="26"/>
      <c r="BL15" s="26"/>
      <c r="BM15" s="26"/>
      <c r="BN15" s="26"/>
      <c r="BO15" s="28"/>
      <c r="BP15" s="28"/>
      <c r="BQ15" s="28"/>
    </row>
    <row r="16" spans="1:69" ht="15.6">
      <c r="A16" s="40"/>
      <c r="B16" s="41"/>
      <c r="C16" s="42"/>
      <c r="D16" s="43" t="s">
        <v>152</v>
      </c>
      <c r="E16" s="41"/>
      <c r="F16" s="41"/>
      <c r="G16" s="41"/>
      <c r="H16" s="41"/>
      <c r="I16" s="41"/>
      <c r="J16" s="41"/>
      <c r="K16" s="44"/>
      <c r="AS16" s="26"/>
      <c r="AT16" s="26"/>
      <c r="AU16" s="26"/>
      <c r="AV16" s="26"/>
      <c r="AW16" s="27"/>
      <c r="AX16" s="27"/>
      <c r="AY16" s="25"/>
      <c r="AZ16" s="26"/>
      <c r="BA16" s="26"/>
      <c r="BB16" s="25"/>
      <c r="BC16" s="26"/>
      <c r="BD16" s="26"/>
      <c r="BE16" s="26"/>
      <c r="BF16" s="26"/>
      <c r="BG16" s="26"/>
      <c r="BH16" s="26"/>
      <c r="BI16" s="27"/>
      <c r="BJ16" s="27"/>
      <c r="BK16" s="26"/>
      <c r="BL16" s="26"/>
      <c r="BM16" s="26"/>
      <c r="BN16" s="26"/>
      <c r="BO16" s="28"/>
      <c r="BP16" s="28"/>
      <c r="BQ16" s="28"/>
    </row>
    <row r="17" spans="1:69" ht="15.6">
      <c r="B17" s="41"/>
      <c r="C17" s="45" t="s">
        <v>153</v>
      </c>
      <c r="D17" s="42"/>
      <c r="E17" s="41"/>
      <c r="F17" s="41"/>
      <c r="G17" s="41"/>
      <c r="H17" s="41"/>
      <c r="I17" s="41"/>
      <c r="J17" s="41"/>
      <c r="K17" s="44"/>
      <c r="AS17" s="26"/>
      <c r="AT17" s="26"/>
      <c r="AU17" s="26"/>
      <c r="AV17" s="26"/>
      <c r="AW17" s="27"/>
      <c r="AX17" s="27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7"/>
      <c r="BJ17" s="27"/>
      <c r="BK17" s="26"/>
      <c r="BL17" s="26"/>
      <c r="BM17" s="26"/>
      <c r="BN17" s="26"/>
      <c r="BO17" s="28"/>
      <c r="BP17" s="28"/>
      <c r="BQ17" s="28"/>
    </row>
    <row r="18" spans="1:69" ht="15.6">
      <c r="A18" s="46"/>
      <c r="B18" s="41"/>
      <c r="C18" s="47" t="s">
        <v>154</v>
      </c>
      <c r="D18" s="47" t="s">
        <v>155</v>
      </c>
      <c r="E18" s="47" t="s">
        <v>156</v>
      </c>
      <c r="F18" s="47" t="s">
        <v>157</v>
      </c>
      <c r="G18" s="47" t="s">
        <v>158</v>
      </c>
      <c r="H18" s="47" t="s">
        <v>159</v>
      </c>
      <c r="I18" s="47" t="s">
        <v>160</v>
      </c>
      <c r="J18" s="47" t="s">
        <v>161</v>
      </c>
      <c r="K18" s="44" t="s">
        <v>162</v>
      </c>
      <c r="AS18" s="33"/>
      <c r="AT18" s="33"/>
      <c r="AU18" s="33"/>
      <c r="AV18" s="33"/>
      <c r="AW18" s="34"/>
      <c r="AX18" s="34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4"/>
      <c r="BJ18" s="34"/>
      <c r="BK18" s="32"/>
      <c r="BL18" s="32"/>
      <c r="BM18" s="32"/>
      <c r="BN18" s="32"/>
      <c r="BO18" s="28"/>
      <c r="BP18" s="28"/>
      <c r="BQ18" s="28"/>
    </row>
    <row r="19" spans="1:69" ht="15.6">
      <c r="A19" s="48"/>
      <c r="B19" s="41"/>
      <c r="C19" s="41">
        <v>1</v>
      </c>
      <c r="D19" s="41">
        <v>3</v>
      </c>
      <c r="E19" s="41">
        <v>4</v>
      </c>
      <c r="F19" s="41">
        <v>5</v>
      </c>
      <c r="G19" s="41">
        <v>8</v>
      </c>
      <c r="H19" s="41">
        <v>9</v>
      </c>
      <c r="I19" s="41">
        <v>10</v>
      </c>
      <c r="J19" s="41">
        <v>11</v>
      </c>
      <c r="K19" s="44"/>
      <c r="AS19" s="26"/>
      <c r="AT19" s="26"/>
      <c r="AU19" s="26"/>
      <c r="AV19" s="33"/>
      <c r="AW19" s="34"/>
      <c r="AX19" s="34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/>
      <c r="BJ19" s="27"/>
      <c r="BK19" s="26"/>
      <c r="BL19" s="26"/>
      <c r="BM19" s="26"/>
      <c r="BN19" s="26"/>
      <c r="BO19" s="26"/>
      <c r="BP19" s="28"/>
      <c r="BQ19" s="28"/>
    </row>
    <row r="20" spans="1:69" ht="15.6">
      <c r="A20" s="49">
        <v>40014</v>
      </c>
      <c r="B20" s="50"/>
      <c r="C20" s="50">
        <v>102.80000305175781</v>
      </c>
      <c r="D20" s="50">
        <v>102.65000152587891</v>
      </c>
      <c r="E20" s="50">
        <v>102.25</v>
      </c>
      <c r="F20" s="50">
        <v>102.25</v>
      </c>
      <c r="G20" s="50">
        <v>104.47499847412109</v>
      </c>
      <c r="H20" s="50">
        <v>104.5</v>
      </c>
      <c r="I20" s="50">
        <v>104.375</v>
      </c>
      <c r="J20" s="50">
        <v>104.30000305175781</v>
      </c>
      <c r="K20" s="51">
        <v>104.47499847412109</v>
      </c>
      <c r="AS20" s="33"/>
      <c r="AT20" s="33"/>
      <c r="AU20" s="33"/>
      <c r="AV20" s="33"/>
      <c r="AW20" s="34"/>
      <c r="AX20" s="34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/>
      <c r="BJ20" s="34"/>
      <c r="BK20" s="32"/>
      <c r="BL20" s="32"/>
      <c r="BM20" s="26"/>
      <c r="BN20" s="26"/>
      <c r="BO20" s="26"/>
      <c r="BP20" s="26"/>
      <c r="BQ20" s="26"/>
    </row>
    <row r="21" spans="1:69" ht="15.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</row>
    <row r="23" spans="1:69" ht="15.6">
      <c r="A23" s="36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6" spans="1:69" ht="15.6">
      <c r="A26" s="40"/>
      <c r="B26" s="41"/>
      <c r="C26" s="42"/>
      <c r="D26" s="43"/>
      <c r="E26" s="41"/>
      <c r="F26" s="41"/>
      <c r="G26" s="41"/>
      <c r="H26" s="41"/>
      <c r="I26" s="41"/>
      <c r="J26" s="41"/>
      <c r="K26" s="44"/>
    </row>
    <row r="27" spans="1:69" ht="15.6">
      <c r="B27" s="41"/>
      <c r="C27" s="45"/>
      <c r="D27" s="42"/>
      <c r="E27" s="41"/>
      <c r="F27" s="41"/>
      <c r="G27" s="41"/>
      <c r="H27" s="41"/>
      <c r="I27" s="41"/>
      <c r="J27" s="41"/>
      <c r="K27" s="44"/>
    </row>
    <row r="28" spans="1:69" ht="15.6">
      <c r="A28" s="46"/>
      <c r="B28" s="41"/>
      <c r="C28" s="47"/>
      <c r="D28" s="47"/>
      <c r="E28" s="47"/>
      <c r="F28" s="47"/>
      <c r="G28" s="47"/>
      <c r="H28" s="47"/>
      <c r="I28" s="47"/>
      <c r="J28" s="47"/>
      <c r="K28" s="44"/>
    </row>
    <row r="29" spans="1:69" ht="15.6">
      <c r="A29" s="48"/>
      <c r="B29" s="41"/>
      <c r="C29" s="41"/>
      <c r="D29" s="41"/>
      <c r="E29" s="41"/>
      <c r="F29" s="41"/>
      <c r="G29" s="41"/>
      <c r="H29" s="41"/>
      <c r="I29" s="41"/>
      <c r="J29" s="41"/>
      <c r="K29" s="44"/>
    </row>
    <row r="30" spans="1:69" ht="15.6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Producer Info</vt:lpstr>
      <vt:lpstr>Cattle type</vt:lpstr>
      <vt:lpstr>Steers</vt:lpstr>
      <vt:lpstr>Steer cost of gain</vt:lpstr>
      <vt:lpstr>Heifers</vt:lpstr>
      <vt:lpstr>Heifer cost of gain</vt:lpstr>
      <vt:lpstr>Results</vt:lpstr>
      <vt:lpstr>controls</vt:lpstr>
      <vt:lpstr>prices</vt:lpstr>
      <vt:lpstr>basis</vt:lpstr>
    </vt:vector>
  </TitlesOfParts>
  <Company>AGECON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DeVuyst</dc:creator>
  <cp:lastModifiedBy>Wilson, Cassidy Diane</cp:lastModifiedBy>
  <cp:lastPrinted>2009-07-28T18:23:49Z</cp:lastPrinted>
  <dcterms:created xsi:type="dcterms:W3CDTF">2008-11-06T21:00:22Z</dcterms:created>
  <dcterms:modified xsi:type="dcterms:W3CDTF">2022-07-27T20:37:04Z</dcterms:modified>
</cp:coreProperties>
</file>