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statemailokstate-my.sharepoint.com/personal/cassidy_spradlin_okstate_edu/Documents/Attachments/Factsheet/AGEC-263/"/>
    </mc:Choice>
  </mc:AlternateContent>
  <xr:revisionPtr revIDLastSave="0" documentId="8_{165CD306-EB48-4F33-A644-7A6225235822}" xr6:coauthVersionLast="47" xr6:coauthVersionMax="47" xr10:uidLastSave="{00000000-0000-0000-0000-000000000000}"/>
  <bookViews>
    <workbookView xWindow="1152" yWindow="1152" windowWidth="10548" windowHeight="8916" xr2:uid="{00000000-000D-0000-FFFF-FFFF00000000}"/>
  </bookViews>
  <sheets>
    <sheet name="Budget" sheetId="1" r:id="rId1"/>
    <sheet name="cost_of_gain" sheetId="8" state="hidden" r:id="rId2"/>
    <sheet name="combined prices" sheetId="4" state="hidden" r:id="rId3"/>
    <sheet name="OKC prices" sheetId="2" state="hidden" r:id="rId4"/>
    <sheet name="futures" sheetId="3" state="hidden" r:id="rId5"/>
    <sheet name="basis" sheetId="6" state="hidden" r:id="rId6"/>
    <sheet name="lists" sheetId="5" state="hidden" r:id="rId7"/>
    <sheet name="Sheet1" sheetId="9" state="hidden" r:id="rId8"/>
  </sheets>
  <externalReferences>
    <externalReference r:id="rId9"/>
  </externalReferences>
  <definedNames>
    <definedName name="gender">[1]lists!$C$2:$C$4</definedName>
    <definedName name="location" localSheetId="1">#REF!</definedName>
    <definedName name="locations">lists!$A$2:$A$3</definedName>
    <definedName name="months">lists!$A$7:$A$18</definedName>
    <definedName name="Weights">[1]lists!$A$2:$A$12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2" l="1"/>
  <c r="O16" i="2"/>
  <c r="N16" i="2"/>
  <c r="M16" i="2"/>
  <c r="L16" i="2"/>
  <c r="K16" i="2"/>
  <c r="J16" i="2"/>
  <c r="I16" i="2"/>
  <c r="H16" i="2"/>
  <c r="G16" i="2"/>
  <c r="F16" i="2"/>
  <c r="J21" i="2" l="1"/>
  <c r="I17" i="2"/>
  <c r="I18" i="2" s="1"/>
  <c r="J17" i="2"/>
  <c r="J18" i="2" s="1"/>
  <c r="M17" i="2"/>
  <c r="M18" i="2" s="1"/>
  <c r="G17" i="2"/>
  <c r="G18" i="2" s="1"/>
  <c r="O17" i="2"/>
  <c r="O18" i="2" s="1"/>
  <c r="H17" i="2"/>
  <c r="H18" i="2" s="1"/>
  <c r="G21" i="2" s="1"/>
  <c r="P17" i="2"/>
  <c r="P18" i="2" s="1"/>
  <c r="K17" i="2"/>
  <c r="K18" i="2" s="1"/>
  <c r="I21" i="2"/>
  <c r="H21" i="2"/>
  <c r="L17" i="2"/>
  <c r="L18" i="2" s="1"/>
  <c r="N17" i="2"/>
  <c r="N18" i="2" s="1"/>
  <c r="J47" i="1"/>
  <c r="F47" i="1"/>
  <c r="J41" i="1"/>
  <c r="J43" i="1" s="1"/>
  <c r="F41" i="1"/>
  <c r="F43" i="1" s="1"/>
  <c r="L21" i="8"/>
  <c r="J21" i="8"/>
  <c r="L10" i="8"/>
  <c r="J10" i="8"/>
  <c r="F4" i="8"/>
  <c r="K23" i="5"/>
  <c r="K22" i="5"/>
  <c r="K8" i="5"/>
  <c r="J8" i="5"/>
  <c r="K20" i="5"/>
  <c r="J22" i="5" s="1"/>
  <c r="L15" i="5"/>
  <c r="K16" i="5" s="1"/>
  <c r="K15" i="5"/>
  <c r="J15" i="5"/>
  <c r="K13" i="5"/>
  <c r="H42" i="1"/>
  <c r="E2" i="5"/>
  <c r="E3" i="5"/>
  <c r="G2" i="5"/>
  <c r="G3" i="5"/>
  <c r="F17" i="8"/>
  <c r="L22" i="8" l="1"/>
  <c r="L24" i="8" s="1"/>
  <c r="J22" i="8"/>
  <c r="J24" i="8" s="1"/>
  <c r="L23" i="5"/>
  <c r="L22" i="5"/>
  <c r="J23" i="5"/>
  <c r="J16" i="5"/>
  <c r="L16" i="5"/>
  <c r="K17" i="5" s="1"/>
  <c r="K24" i="5" l="1"/>
  <c r="J24" i="5"/>
  <c r="J17" i="5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B9" i="5"/>
  <c r="B10" i="5" s="1"/>
  <c r="B11" i="5" s="1"/>
  <c r="B12" i="5" s="1"/>
  <c r="B13" i="5" s="1"/>
  <c r="B14" i="5" s="1"/>
  <c r="B15" i="5" s="1"/>
  <c r="B16" i="5" s="1"/>
  <c r="B17" i="5" s="1"/>
  <c r="F22" i="1"/>
  <c r="F46" i="1" s="1"/>
  <c r="H22" i="1"/>
  <c r="J46" i="1" s="1"/>
  <c r="H10" i="1"/>
  <c r="J48" i="1"/>
  <c r="L48" i="1" s="1"/>
  <c r="L47" i="1"/>
  <c r="L41" i="1"/>
  <c r="H41" i="1"/>
  <c r="L42" i="1"/>
  <c r="F48" i="1"/>
  <c r="H28" i="1"/>
  <c r="F28" i="1"/>
  <c r="F17" i="1" l="1"/>
  <c r="J1" i="5" s="1"/>
  <c r="K1" i="5" s="1"/>
  <c r="B18" i="5"/>
  <c r="J3" i="5"/>
  <c r="K3" i="5"/>
  <c r="L43" i="1"/>
  <c r="J49" i="1"/>
  <c r="L49" i="1" s="1"/>
  <c r="F49" i="1"/>
  <c r="H49" i="1" s="1"/>
  <c r="H47" i="1"/>
  <c r="H48" i="1"/>
  <c r="L1" i="5" l="1"/>
  <c r="J6" i="5" s="1"/>
  <c r="J4" i="5"/>
  <c r="O11" i="5"/>
  <c r="M3" i="5"/>
  <c r="M5" i="5"/>
  <c r="L5" i="5"/>
  <c r="L3" i="5"/>
  <c r="H43" i="1"/>
  <c r="J50" i="1"/>
  <c r="J52" i="1" s="1"/>
  <c r="F50" i="1"/>
  <c r="F52" i="1" s="1"/>
  <c r="L6" i="5" l="1"/>
  <c r="M6" i="5"/>
  <c r="K6" i="5"/>
  <c r="L4" i="5"/>
  <c r="K4" i="5"/>
  <c r="J7" i="5"/>
  <c r="M8" i="5"/>
  <c r="Q3" i="5" s="1"/>
  <c r="L8" i="5"/>
  <c r="P3" i="5" s="1"/>
  <c r="J51" i="1"/>
  <c r="J53" i="1" s="1"/>
  <c r="F51" i="1"/>
  <c r="F53" i="1" s="1"/>
  <c r="L7" i="5" l="1"/>
  <c r="P4" i="5" s="1"/>
  <c r="M4" i="5"/>
  <c r="M7" i="5" s="1"/>
  <c r="K7" i="5"/>
  <c r="Q4" i="5" l="1"/>
</calcChain>
</file>

<file path=xl/sharedStrings.xml><?xml version="1.0" encoding="utf-8"?>
<sst xmlns="http://schemas.openxmlformats.org/spreadsheetml/2006/main" count="461" uniqueCount="218">
  <si>
    <t>NAME</t>
  </si>
  <si>
    <t>Date</t>
  </si>
  <si>
    <t>Days in receiving program</t>
  </si>
  <si>
    <t>Days grazed on wheat</t>
  </si>
  <si>
    <t>Expected sale date</t>
  </si>
  <si>
    <t>Expected purchase date</t>
  </si>
  <si>
    <t>Steers</t>
  </si>
  <si>
    <t>Heifers</t>
  </si>
  <si>
    <t>lbs/head</t>
  </si>
  <si>
    <t>Purchase weight</t>
  </si>
  <si>
    <t>Purchase price</t>
  </si>
  <si>
    <t>Do you want to update price data?</t>
  </si>
  <si>
    <t>Purchase cost</t>
  </si>
  <si>
    <t>$/head</t>
  </si>
  <si>
    <t>Receiving Program ADG</t>
  </si>
  <si>
    <t>Wheat grazing ADG</t>
  </si>
  <si>
    <t>Death loss</t>
  </si>
  <si>
    <t>percent</t>
  </si>
  <si>
    <t>Stocking density</t>
  </si>
  <si>
    <t>head/acre</t>
  </si>
  <si>
    <t>Veterinary cost</t>
  </si>
  <si>
    <t>Marketing cost</t>
  </si>
  <si>
    <t>Cost of gain</t>
  </si>
  <si>
    <t>Interest rate</t>
  </si>
  <si>
    <t>%</t>
  </si>
  <si>
    <t>Wheat Stocker Enterprise Budget</t>
  </si>
  <si>
    <t>Sales weight</t>
  </si>
  <si>
    <t>Sales price</t>
  </si>
  <si>
    <t>$/cwt</t>
  </si>
  <si>
    <t>Revenue</t>
  </si>
  <si>
    <t>Total</t>
  </si>
  <si>
    <t>Daily</t>
  </si>
  <si>
    <t>Gross Revenue</t>
  </si>
  <si>
    <t>Purchase</t>
  </si>
  <si>
    <t>Interest expense</t>
  </si>
  <si>
    <t>Total Expense</t>
  </si>
  <si>
    <t>Net Return</t>
  </si>
  <si>
    <t>Breakeven Price</t>
  </si>
  <si>
    <t>Expense per head sold</t>
  </si>
  <si>
    <t>Net Return per acre</t>
  </si>
  <si>
    <t>$/acre</t>
  </si>
  <si>
    <t>OKC</t>
  </si>
  <si>
    <t>The current price data is dated as</t>
  </si>
  <si>
    <t xml:space="preserve">WEIGHTED AVERAGE SUMMARY FOR OKLAHOMA  AUCTIONS </t>
  </si>
  <si>
    <t>FEEDER CATTLE HEIFERS</t>
  </si>
  <si>
    <t>combined auctions OK</t>
  </si>
  <si>
    <t>KO_LS794</t>
  </si>
  <si>
    <t>FEEDER CATTLE STEERS</t>
  </si>
  <si>
    <t>MEDIUM AND LARGE FRAME #1</t>
  </si>
  <si>
    <t>-</t>
  </si>
  <si>
    <t>:</t>
  </si>
  <si>
    <t>200-250</t>
  </si>
  <si>
    <t>250-300</t>
  </si>
  <si>
    <t>300-350</t>
  </si>
  <si>
    <t>350-400</t>
  </si>
  <si>
    <t>400-450</t>
  </si>
  <si>
    <t>450-500</t>
  </si>
  <si>
    <t>500-550</t>
  </si>
  <si>
    <t>550-600</t>
  </si>
  <si>
    <t>600-650</t>
  </si>
  <si>
    <t>650-700</t>
  </si>
  <si>
    <t>700-750</t>
  </si>
  <si>
    <t>750-800</t>
  </si>
  <si>
    <t>800-850</t>
  </si>
  <si>
    <t>850-900</t>
  </si>
  <si>
    <t>900-950</t>
  </si>
  <si>
    <t>950-1000</t>
  </si>
  <si>
    <t>1000-1050</t>
  </si>
  <si>
    <t>1050-1100</t>
  </si>
  <si>
    <t>1100-1150</t>
  </si>
  <si>
    <t>1150-1200</t>
  </si>
  <si>
    <t>1200-1250</t>
  </si>
  <si>
    <t>What location's price data do you want use?</t>
  </si>
  <si>
    <t>lb/head</t>
  </si>
  <si>
    <t>lb/day</t>
  </si>
  <si>
    <t>lb/acre</t>
  </si>
  <si>
    <t>$/lb</t>
  </si>
  <si>
    <t>Other costs per month</t>
  </si>
  <si>
    <t>Vet, Marketing and Other</t>
  </si>
  <si>
    <t>LS214OK</t>
  </si>
  <si>
    <t>KO_LS795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</si>
  <si>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</si>
  <si>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</si>
  <si>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</si>
  <si>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</si>
  <si>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</si>
  <si>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</si>
  <si>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</si>
  <si>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</si>
  <si>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</si>
  <si>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</si>
  <si>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</si>
  <si>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</si>
  <si>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</si>
  <si>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CN</t>
  </si>
  <si>
    <t>CO</t>
  </si>
  <si>
    <t>CP</t>
  </si>
  <si>
    <t>CQ</t>
  </si>
  <si>
    <t>CR</t>
  </si>
  <si>
    <t>CS</t>
  </si>
  <si>
    <t>CT</t>
  </si>
  <si>
    <t>KA</t>
  </si>
  <si>
    <t>KB</t>
  </si>
  <si>
    <t>KC</t>
  </si>
  <si>
    <t>KD</t>
  </si>
  <si>
    <t>KE</t>
  </si>
  <si>
    <t>KF</t>
  </si>
  <si>
    <t>KG</t>
  </si>
  <si>
    <t>KH</t>
  </si>
  <si>
    <t>KI</t>
  </si>
  <si>
    <t>KJ</t>
  </si>
  <si>
    <t>KK</t>
  </si>
  <si>
    <t>KL</t>
  </si>
  <si>
    <t>KM</t>
  </si>
  <si>
    <t>KN</t>
  </si>
  <si>
    <t>KO</t>
  </si>
  <si>
    <t>KP</t>
  </si>
  <si>
    <t>KQ</t>
  </si>
  <si>
    <t>KR</t>
  </si>
  <si>
    <t>Feeder Cattle Futures</t>
  </si>
  <si>
    <t>DAILY</t>
  </si>
  <si>
    <t>JAN</t>
  </si>
  <si>
    <t>MAR</t>
  </si>
  <si>
    <t>APR</t>
  </si>
  <si>
    <t>MAY</t>
  </si>
  <si>
    <t>AUG</t>
  </si>
  <si>
    <t>SEP</t>
  </si>
  <si>
    <t>OCT</t>
  </si>
  <si>
    <t>NOV</t>
  </si>
  <si>
    <t>Nearby</t>
  </si>
  <si>
    <t>locations</t>
  </si>
  <si>
    <t>OK combined</t>
  </si>
  <si>
    <t>updated</t>
  </si>
  <si>
    <t>current</t>
  </si>
  <si>
    <t>steers</t>
  </si>
  <si>
    <t>heifers</t>
  </si>
  <si>
    <t>combined</t>
  </si>
  <si>
    <t>okc</t>
  </si>
  <si>
    <t>futures</t>
  </si>
  <si>
    <t>sales date</t>
  </si>
  <si>
    <t>Nov</t>
  </si>
  <si>
    <t>Months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</si>
  <si>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</si>
  <si>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</si>
  <si>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</si>
  <si>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</si>
  <si>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</si>
  <si>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</si>
  <si>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</si>
  <si>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</si>
  <si>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</si>
  <si>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</si>
  <si>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Dec</t>
  </si>
  <si>
    <t>Jun</t>
  </si>
  <si>
    <t>Jul</t>
  </si>
  <si>
    <t>Sep</t>
  </si>
  <si>
    <t>basis</t>
  </si>
  <si>
    <t>weight</t>
  </si>
  <si>
    <t>findrow</t>
  </si>
  <si>
    <t>net price</t>
  </si>
  <si>
    <t>Receiving Program Expenses</t>
  </si>
  <si>
    <t>Total receiving program expenses</t>
  </si>
  <si>
    <t>FEB</t>
  </si>
  <si>
    <t>JUN</t>
  </si>
  <si>
    <t>JUL</t>
  </si>
  <si>
    <t>DEC</t>
  </si>
  <si>
    <t>price interpolation</t>
  </si>
  <si>
    <t>purchase steers</t>
  </si>
  <si>
    <t>purchase weight</t>
  </si>
  <si>
    <t>price low</t>
  </si>
  <si>
    <t>price high</t>
  </si>
  <si>
    <t>extrpolated</t>
  </si>
  <si>
    <t>purchase heifers</t>
  </si>
  <si>
    <t>Price interpolation</t>
  </si>
  <si>
    <t>sales</t>
  </si>
  <si>
    <t>basis weight</t>
  </si>
  <si>
    <t>perc</t>
  </si>
  <si>
    <t>price</t>
  </si>
  <si>
    <t>Wheat pasture rent ($/head)</t>
  </si>
  <si>
    <t>Total Pasture Grazing Expenses</t>
  </si>
  <si>
    <t>FEEDER CATTLE SEASONAL PRICE INDEX</t>
  </si>
  <si>
    <t>seasonality index</t>
  </si>
  <si>
    <t>download price data</t>
  </si>
  <si>
    <t>Receiving Weight (lb)</t>
  </si>
  <si>
    <t>Hay costs</t>
  </si>
  <si>
    <t>Price ($/ton)</t>
  </si>
  <si>
    <t>Supplement</t>
  </si>
  <si>
    <t>Mineral</t>
  </si>
  <si>
    <t>Wheat Pasture Grazing Expenses</t>
  </si>
  <si>
    <t>oz/head/day</t>
  </si>
  <si>
    <t>Transport to pasture</t>
  </si>
  <si>
    <t>Other receiving costs</t>
  </si>
  <si>
    <t>$/lbs</t>
  </si>
  <si>
    <t>Gain</t>
  </si>
  <si>
    <t>Total Receiving and Grazing Expenses</t>
  </si>
  <si>
    <t>lb/head/day</t>
  </si>
  <si>
    <t>Implant cost</t>
  </si>
  <si>
    <t>$/head/day</t>
  </si>
  <si>
    <t>Labor</t>
  </si>
  <si>
    <t>Equipment and machinery</t>
  </si>
  <si>
    <t>Management fee</t>
  </si>
  <si>
    <t>Other</t>
  </si>
  <si>
    <t>lbs</t>
  </si>
  <si>
    <t>$/lb of gain</t>
  </si>
  <si>
    <t>Feed cost of gain</t>
  </si>
  <si>
    <t>Feed Cost of Gain Analysis</t>
  </si>
  <si>
    <r>
      <rPr>
        <sz val="18"/>
        <color theme="1"/>
        <rFont val="Calibri"/>
        <family val="2"/>
        <scheme val="minor"/>
      </rPr>
      <t>Oklahoma Wheat Stocker Budget Generator</t>
    </r>
    <r>
      <rPr>
        <sz val="11"/>
        <color theme="1"/>
        <rFont val="Calibri"/>
        <family val="2"/>
        <scheme val="minor"/>
      </rPr>
      <t xml:space="preserve">
</t>
    </r>
    <r>
      <rPr>
        <sz val="16"/>
        <color indexed="8"/>
        <rFont val="Calibri"/>
        <family val="2"/>
      </rPr>
      <t>Oklahoma State University
Oklahoma Cooperative Extension Service
Oklahoma Agricultural Experiment Station</t>
    </r>
    <r>
      <rPr>
        <sz val="11"/>
        <color theme="1"/>
        <rFont val="Calibri"/>
        <family val="2"/>
        <scheme val="minor"/>
      </rPr>
      <t xml:space="preserve">
</t>
    </r>
    <r>
      <rPr>
        <sz val="14"/>
        <color indexed="8"/>
        <rFont val="Calibri"/>
        <family val="2"/>
      </rPr>
      <t>Stillwater, Oklahoma</t>
    </r>
    <r>
      <rPr>
        <sz val="11"/>
        <color theme="1"/>
        <rFont val="Calibri"/>
        <family val="2"/>
        <scheme val="minor"/>
      </rPr>
      <t xml:space="preserve">
Developed by
Eric A. DeVuyst, Francis Epplin, Derrel Peel, Karen Taylor,
Dept. of Agricultural Economics
Gerald Horn, David Lalman, Dept. of Animal Science
</t>
    </r>
  </si>
  <si>
    <t>What's new?</t>
  </si>
  <si>
    <t>2009-2013</t>
  </si>
  <si>
    <t>example</t>
  </si>
  <si>
    <t>rev</t>
  </si>
  <si>
    <t>5 to 6</t>
  </si>
  <si>
    <t>5 to 7</t>
  </si>
  <si>
    <t>6 to 7</t>
  </si>
  <si>
    <t>6 to 8</t>
  </si>
  <si>
    <t>2010-2014</t>
  </si>
  <si>
    <t/>
  </si>
  <si>
    <t>Build date 08/21/2015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</si>
</sst>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-409]mmmm\ d\,\ yyyy;@"/>
    <numFmt numFmtId="165" formatCode="0.0"/>
    <numFmt numFmtId="166" formatCode="0.0%"/>
    <numFmt numFmtId="167" formatCode="&quot;$&quot;#,##0.00"/>
    <numFmt numFmtId="168" formatCode="mm/dd/yy_)"/>
    <numFmt numFmtId="169" formatCode="0.00_)"/>
    <numFmt numFmtId="170" formatCode="mm/dd/yy"/>
    <numFmt numFmtId="171" formatCode="[$-409]d\-mmm;@"/>
    <numFmt numFmtId="172" formatCode="&quot;$&quot;#,##0"/>
  </numFmts>
  <fonts count="32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 MT"/>
    </font>
    <font>
      <sz val="12"/>
      <color indexed="12"/>
      <name val="Arial"/>
      <family val="2"/>
    </font>
    <font>
      <sz val="12"/>
      <name val="Arial"/>
      <family val="2"/>
    </font>
    <font>
      <b/>
      <sz val="16"/>
      <color indexed="12"/>
      <name val="Arial"/>
      <family val="2"/>
    </font>
    <font>
      <b/>
      <sz val="12"/>
      <color indexed="12"/>
      <name val="Arial"/>
      <family val="2"/>
    </font>
    <font>
      <sz val="10"/>
      <color indexed="12"/>
      <name val="Arial MT"/>
    </font>
    <font>
      <sz val="16"/>
      <name val="Calibri"/>
      <family val="2"/>
      <scheme val="minor"/>
    </font>
    <font>
      <sz val="12"/>
      <name val="Arial MT"/>
    </font>
    <font>
      <b/>
      <sz val="12"/>
      <name val="Arial"/>
      <family val="2"/>
    </font>
    <font>
      <sz val="12"/>
      <color indexed="16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indexed="12"/>
      <name val="Arial MT"/>
    </font>
    <font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4" tint="0.59996337778862885"/>
      </patternFill>
    </fill>
    <fill>
      <patternFill patternType="gray125">
        <bgColor theme="9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9">
    <xf numFmtId="0" fontId="0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9" fillId="0" borderId="0"/>
    <xf numFmtId="169" fontId="9" fillId="0" borderId="0"/>
    <xf numFmtId="0" fontId="31" fillId="0" borderId="0"/>
  </cellStyleXfs>
  <cellXfs count="221">
    <xf numFmtId="0" fontId="0" fillId="0" borderId="0" xfId="0"/>
    <xf numFmtId="0" fontId="3" fillId="0" borderId="0" xfId="0" applyFont="1"/>
    <xf numFmtId="0" fontId="5" fillId="2" borderId="7" xfId="0" applyFont="1" applyFill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3" fillId="0" borderId="7" xfId="0" applyFont="1" applyBorder="1" applyAlignment="1">
      <alignment shrinkToFit="1"/>
    </xf>
    <xf numFmtId="0" fontId="8" fillId="0" borderId="0" xfId="0" applyFont="1"/>
    <xf numFmtId="0" fontId="8" fillId="0" borderId="7" xfId="0" applyFont="1" applyBorder="1" applyAlignment="1">
      <alignment horizontal="center" shrinkToFi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6" fillId="0" borderId="0" xfId="0" applyFont="1"/>
    <xf numFmtId="0" fontId="0" fillId="0" borderId="0" xfId="0" applyAlignment="1"/>
    <xf numFmtId="2" fontId="10" fillId="0" borderId="0" xfId="1" applyNumberFormat="1" applyFont="1" applyProtection="1"/>
    <xf numFmtId="169" fontId="11" fillId="0" borderId="0" xfId="1" applyNumberFormat="1" applyFont="1" applyProtection="1"/>
    <xf numFmtId="169" fontId="9" fillId="0" borderId="0" xfId="1" applyNumberFormat="1" applyProtection="1"/>
    <xf numFmtId="168" fontId="11" fillId="0" borderId="0" xfId="1" applyNumberFormat="1" applyFont="1" applyAlignment="1" applyProtection="1">
      <alignment horizontal="right"/>
    </xf>
    <xf numFmtId="2" fontId="11" fillId="0" borderId="0" xfId="1" applyNumberFormat="1" applyFont="1" applyAlignment="1" applyProtection="1">
      <alignment horizontal="right"/>
    </xf>
    <xf numFmtId="169" fontId="11" fillId="0" borderId="0" xfId="1" applyNumberFormat="1" applyFont="1" applyAlignment="1" applyProtection="1">
      <alignment horizontal="right"/>
    </xf>
    <xf numFmtId="168" fontId="11" fillId="0" borderId="0" xfId="1" applyNumberFormat="1" applyFont="1" applyProtection="1"/>
    <xf numFmtId="2" fontId="10" fillId="0" borderId="0" xfId="1" applyNumberFormat="1" applyFont="1" applyAlignment="1" applyProtection="1">
      <alignment horizontal="right"/>
    </xf>
    <xf numFmtId="169" fontId="10" fillId="0" borderId="0" xfId="1" applyNumberFormat="1" applyFont="1" applyProtection="1"/>
    <xf numFmtId="169" fontId="14" fillId="0" borderId="0" xfId="1" applyNumberFormat="1" applyFont="1" applyProtection="1"/>
    <xf numFmtId="2" fontId="11" fillId="0" borderId="0" xfId="1" applyNumberFormat="1" applyFont="1" applyProtection="1"/>
    <xf numFmtId="2" fontId="10" fillId="0" borderId="0" xfId="1" applyNumberFormat="1" applyFont="1" applyProtection="1">
      <protection locked="0"/>
    </xf>
    <xf numFmtId="169" fontId="12" fillId="0" borderId="0" xfId="1" applyNumberFormat="1" applyFont="1" applyAlignment="1" applyProtection="1">
      <alignment horizontal="left"/>
      <protection locked="0"/>
    </xf>
    <xf numFmtId="169" fontId="13" fillId="0" borderId="0" xfId="1" applyNumberFormat="1" applyFont="1" applyAlignment="1" applyProtection="1">
      <alignment horizontal="left"/>
      <protection locked="0"/>
    </xf>
    <xf numFmtId="169" fontId="16" fillId="0" borderId="0" xfId="1" applyNumberFormat="1" applyFont="1"/>
    <xf numFmtId="169" fontId="9" fillId="0" borderId="0" xfId="1" applyNumberFormat="1"/>
    <xf numFmtId="168" fontId="13" fillId="0" borderId="0" xfId="1" applyNumberFormat="1" applyFont="1" applyProtection="1">
      <protection locked="0"/>
    </xf>
    <xf numFmtId="169" fontId="10" fillId="0" borderId="0" xfId="1" applyNumberFormat="1" applyFont="1" applyAlignment="1" applyProtection="1">
      <alignment horizontal="left"/>
      <protection locked="0"/>
    </xf>
    <xf numFmtId="169" fontId="10" fillId="0" borderId="0" xfId="1" applyNumberFormat="1" applyFont="1" applyAlignment="1" applyProtection="1">
      <alignment horizontal="right"/>
      <protection locked="0"/>
    </xf>
    <xf numFmtId="168" fontId="10" fillId="0" borderId="0" xfId="1" applyNumberFormat="1" applyFont="1" applyAlignment="1" applyProtection="1">
      <alignment horizontal="fill"/>
      <protection locked="0"/>
    </xf>
    <xf numFmtId="2" fontId="10" fillId="0" borderId="0" xfId="1" applyNumberFormat="1" applyFont="1" applyAlignment="1" applyProtection="1">
      <alignment horizontal="fill"/>
      <protection locked="0"/>
    </xf>
    <xf numFmtId="2" fontId="10" fillId="0" borderId="0" xfId="1" applyNumberFormat="1" applyFont="1" applyAlignment="1" applyProtection="1">
      <alignment horizontal="right"/>
      <protection locked="0"/>
    </xf>
    <xf numFmtId="168" fontId="10" fillId="0" borderId="0" xfId="2" applyNumberFormat="1" applyFont="1" applyProtection="1">
      <protection locked="0"/>
    </xf>
    <xf numFmtId="0" fontId="11" fillId="0" borderId="0" xfId="2" applyFont="1" applyProtection="1"/>
    <xf numFmtId="169" fontId="10" fillId="0" borderId="0" xfId="2" applyNumberFormat="1" applyFont="1" applyProtection="1">
      <protection locked="0"/>
    </xf>
    <xf numFmtId="0" fontId="10" fillId="0" borderId="0" xfId="2" applyFont="1" applyProtection="1">
      <protection locked="0"/>
    </xf>
    <xf numFmtId="2" fontId="10" fillId="0" borderId="0" xfId="2" applyNumberFormat="1" applyFont="1" applyProtection="1">
      <protection locked="0"/>
    </xf>
    <xf numFmtId="0" fontId="16" fillId="0" borderId="0" xfId="2"/>
    <xf numFmtId="168" fontId="11" fillId="0" borderId="0" xfId="2" applyNumberFormat="1" applyFont="1" applyProtection="1"/>
    <xf numFmtId="169" fontId="10" fillId="0" borderId="0" xfId="2" applyNumberFormat="1" applyFont="1" applyAlignment="1" applyProtection="1">
      <alignment horizontal="right"/>
      <protection locked="0"/>
    </xf>
    <xf numFmtId="168" fontId="10" fillId="0" borderId="0" xfId="2" applyNumberFormat="1" applyFont="1" applyAlignment="1" applyProtection="1">
      <alignment horizontal="fill"/>
      <protection locked="0"/>
    </xf>
    <xf numFmtId="0" fontId="10" fillId="0" borderId="0" xfId="2" applyFont="1" applyAlignment="1" applyProtection="1">
      <alignment horizontal="right"/>
      <protection locked="0"/>
    </xf>
    <xf numFmtId="2" fontId="10" fillId="0" borderId="0" xfId="2" applyNumberFormat="1" applyFont="1" applyAlignment="1" applyProtection="1">
      <alignment horizontal="right"/>
      <protection locked="0"/>
    </xf>
    <xf numFmtId="169" fontId="11" fillId="0" borderId="0" xfId="3" applyNumberFormat="1" applyFont="1" applyProtection="1"/>
    <xf numFmtId="169" fontId="11" fillId="0" borderId="0" xfId="3" applyNumberFormat="1" applyFont="1" applyProtection="1">
      <protection locked="0"/>
    </xf>
    <xf numFmtId="169" fontId="17" fillId="0" borderId="0" xfId="3" applyNumberFormat="1" applyFont="1" applyProtection="1"/>
    <xf numFmtId="2" fontId="18" fillId="0" borderId="0" xfId="3" applyNumberFormat="1" applyFont="1" applyProtection="1"/>
    <xf numFmtId="169" fontId="17" fillId="0" borderId="0" xfId="3" applyNumberFormat="1" applyFont="1" applyProtection="1">
      <protection locked="0"/>
    </xf>
    <xf numFmtId="170" fontId="11" fillId="0" borderId="0" xfId="3" applyNumberFormat="1" applyFont="1" applyProtection="1"/>
    <xf numFmtId="169" fontId="10" fillId="0" borderId="0" xfId="3" applyNumberFormat="1" applyFont="1" applyAlignment="1" applyProtection="1">
      <alignment horizontal="right"/>
      <protection locked="0"/>
    </xf>
    <xf numFmtId="170" fontId="10" fillId="0" borderId="0" xfId="3" applyNumberFormat="1" applyFont="1" applyAlignment="1" applyProtection="1">
      <alignment horizontal="fill"/>
      <protection locked="0"/>
    </xf>
    <xf numFmtId="2" fontId="0" fillId="0" borderId="0" xfId="0" applyNumberFormat="1"/>
    <xf numFmtId="14" fontId="0" fillId="0" borderId="0" xfId="0" applyNumberFormat="1"/>
    <xf numFmtId="0" fontId="3" fillId="0" borderId="0" xfId="0" applyFont="1" applyBorder="1" applyAlignment="1" applyProtection="1">
      <protection hidden="1"/>
    </xf>
    <xf numFmtId="1" fontId="10" fillId="0" borderId="0" xfId="2" applyNumberFormat="1" applyFont="1" applyAlignment="1" applyProtection="1">
      <alignment horizontal="right"/>
      <protection locked="0"/>
    </xf>
    <xf numFmtId="1" fontId="10" fillId="0" borderId="0" xfId="1" applyNumberFormat="1" applyFont="1" applyAlignment="1" applyProtection="1">
      <alignment horizontal="right"/>
      <protection locked="0"/>
    </xf>
    <xf numFmtId="1" fontId="9" fillId="0" borderId="0" xfId="1" applyNumberFormat="1" applyProtection="1"/>
    <xf numFmtId="1" fontId="0" fillId="0" borderId="0" xfId="0" applyNumberFormat="1"/>
    <xf numFmtId="0" fontId="0" fillId="0" borderId="0" xfId="0" applyFont="1" applyBorder="1" applyAlignment="1" applyProtection="1">
      <protection hidden="1"/>
    </xf>
    <xf numFmtId="0" fontId="0" fillId="0" borderId="11" xfId="0" applyFill="1" applyBorder="1" applyAlignment="1">
      <alignment horizontal="center"/>
    </xf>
    <xf numFmtId="4" fontId="0" fillId="0" borderId="0" xfId="0" applyNumberFormat="1"/>
    <xf numFmtId="2" fontId="0" fillId="7" borderId="0" xfId="0" applyNumberFormat="1" applyFont="1" applyFill="1" applyBorder="1" applyAlignment="1">
      <alignment horizontal="right" shrinkToFit="1"/>
    </xf>
    <xf numFmtId="1" fontId="0" fillId="0" borderId="0" xfId="0" applyNumberFormat="1" applyAlignment="1">
      <alignment horizontal="right"/>
    </xf>
    <xf numFmtId="0" fontId="0" fillId="0" borderId="0" xfId="0" applyFont="1"/>
    <xf numFmtId="0" fontId="20" fillId="0" borderId="0" xfId="5" applyAlignment="1" applyProtection="1"/>
    <xf numFmtId="164" fontId="21" fillId="3" borderId="8" xfId="0" applyNumberFormat="1" applyFont="1" applyFill="1" applyBorder="1" applyAlignment="1">
      <alignment horizontal="center" shrinkToFit="1"/>
    </xf>
    <xf numFmtId="1" fontId="21" fillId="3" borderId="8" xfId="0" applyNumberFormat="1" applyFont="1" applyFill="1" applyBorder="1" applyAlignment="1">
      <alignment horizontal="center" shrinkToFit="1"/>
    </xf>
    <xf numFmtId="1" fontId="21" fillId="3" borderId="7" xfId="0" applyNumberFormat="1" applyFont="1" applyFill="1" applyBorder="1" applyAlignment="1">
      <alignment horizontal="center" shrinkToFit="1"/>
    </xf>
    <xf numFmtId="0" fontId="0" fillId="0" borderId="0" xfId="0" applyAlignment="1">
      <alignment horizontal="right" indent="1"/>
    </xf>
    <xf numFmtId="0" fontId="3" fillId="0" borderId="0" xfId="0" applyFont="1" applyAlignment="1">
      <alignment horizontal="right" indent="1"/>
    </xf>
    <xf numFmtId="0" fontId="23" fillId="10" borderId="7" xfId="0" applyFont="1" applyFill="1" applyBorder="1" applyAlignment="1"/>
    <xf numFmtId="0" fontId="23" fillId="2" borderId="9" xfId="0" applyFont="1" applyFill="1" applyBorder="1" applyAlignment="1"/>
    <xf numFmtId="0" fontId="24" fillId="8" borderId="8" xfId="0" applyFont="1" applyFill="1" applyBorder="1" applyAlignment="1"/>
    <xf numFmtId="2" fontId="10" fillId="0" borderId="0" xfId="4" applyNumberFormat="1" applyFont="1" applyProtection="1">
      <protection locked="0"/>
    </xf>
    <xf numFmtId="169" fontId="11" fillId="0" borderId="0" xfId="6" applyNumberFormat="1" applyFont="1" applyProtection="1"/>
    <xf numFmtId="2" fontId="18" fillId="0" borderId="0" xfId="6" applyNumberFormat="1" applyFont="1" applyProtection="1"/>
    <xf numFmtId="168" fontId="10" fillId="0" borderId="0" xfId="4" applyNumberFormat="1" applyFont="1" applyProtection="1">
      <protection locked="0"/>
    </xf>
    <xf numFmtId="169" fontId="10" fillId="0" borderId="0" xfId="7" applyFont="1" applyProtection="1"/>
    <xf numFmtId="169" fontId="30" fillId="0" borderId="0" xfId="7" applyFont="1"/>
    <xf numFmtId="0" fontId="0" fillId="0" borderId="0" xfId="0" applyFill="1" applyBorder="1" applyAlignment="1">
      <alignment horizontal="center"/>
    </xf>
    <xf numFmtId="0" fontId="31" fillId="0" borderId="0" xfId="8"/>
    <xf numFmtId="2" fontId="10" fillId="0" borderId="0" xfId="7" applyNumberFormat="1" applyFont="1" applyProtection="1"/>
    <xf numFmtId="0" fontId="0" fillId="10" borderId="8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5" fillId="2" borderId="7" xfId="0" applyFont="1" applyFill="1" applyBorder="1" applyAlignment="1">
      <alignment shrinkToFit="1"/>
    </xf>
    <xf numFmtId="2" fontId="7" fillId="4" borderId="7" xfId="0" applyNumberFormat="1" applyFont="1" applyFill="1" applyBorder="1" applyAlignment="1">
      <alignment horizontal="right" indent="1" shrinkToFit="1"/>
    </xf>
    <xf numFmtId="2" fontId="8" fillId="5" borderId="7" xfId="0" applyNumberFormat="1" applyFont="1" applyFill="1" applyBorder="1" applyAlignment="1">
      <alignment horizontal="right" indent="1" shrinkToFit="1"/>
    </xf>
    <xf numFmtId="0" fontId="3" fillId="2" borderId="7" xfId="0" applyFont="1" applyFill="1" applyBorder="1" applyAlignment="1">
      <alignment shrinkToFit="1"/>
    </xf>
    <xf numFmtId="2" fontId="8" fillId="9" borderId="7" xfId="0" applyNumberFormat="1" applyFont="1" applyFill="1" applyBorder="1" applyAlignment="1">
      <alignment horizontal="right" indent="1" shrinkToFit="1"/>
    </xf>
    <xf numFmtId="0" fontId="6" fillId="0" borderId="7" xfId="0" applyFont="1" applyBorder="1" applyAlignment="1">
      <alignment shrinkToFit="1"/>
    </xf>
    <xf numFmtId="2" fontId="8" fillId="3" borderId="7" xfId="0" applyNumberFormat="1" applyFont="1" applyFill="1" applyBorder="1" applyAlignment="1">
      <alignment horizontal="right" indent="1" shrinkToFit="1"/>
    </xf>
    <xf numFmtId="2" fontId="8" fillId="10" borderId="7" xfId="0" applyNumberFormat="1" applyFont="1" applyFill="1" applyBorder="1" applyAlignment="1">
      <alignment horizontal="center" shrinkToFit="1"/>
    </xf>
    <xf numFmtId="0" fontId="7" fillId="2" borderId="7" xfId="0" applyFont="1" applyFill="1" applyBorder="1" applyAlignment="1"/>
    <xf numFmtId="0" fontId="5" fillId="2" borderId="7" xfId="0" applyFont="1" applyFill="1" applyBorder="1" applyAlignment="1">
      <alignment horizontal="center"/>
    </xf>
    <xf numFmtId="0" fontId="8" fillId="10" borderId="7" xfId="0" applyFont="1" applyFill="1" applyBorder="1" applyAlignment="1">
      <alignment horizontal="center"/>
    </xf>
    <xf numFmtId="0" fontId="0" fillId="10" borderId="7" xfId="0" applyFill="1" applyBorder="1" applyAlignment="1"/>
    <xf numFmtId="0" fontId="0" fillId="0" borderId="7" xfId="0" applyBorder="1" applyAlignment="1">
      <alignment horizontal="center"/>
    </xf>
    <xf numFmtId="167" fontId="8" fillId="3" borderId="8" xfId="0" applyNumberFormat="1" applyFont="1" applyFill="1" applyBorder="1" applyAlignment="1">
      <alignment horizontal="right" indent="1"/>
    </xf>
    <xf numFmtId="167" fontId="8" fillId="3" borderId="10" xfId="0" applyNumberFormat="1" applyFont="1" applyFill="1" applyBorder="1" applyAlignment="1">
      <alignment horizontal="right" indent="1"/>
    </xf>
    <xf numFmtId="2" fontId="8" fillId="3" borderId="8" xfId="0" applyNumberFormat="1" applyFont="1" applyFill="1" applyBorder="1" applyAlignment="1">
      <alignment horizontal="right" indent="1"/>
    </xf>
    <xf numFmtId="2" fontId="8" fillId="3" borderId="10" xfId="0" applyNumberFormat="1" applyFont="1" applyFill="1" applyBorder="1" applyAlignment="1">
      <alignment horizontal="right" indent="1"/>
    </xf>
    <xf numFmtId="166" fontId="8" fillId="3" borderId="8" xfId="0" applyNumberFormat="1" applyFont="1" applyFill="1" applyBorder="1" applyAlignment="1">
      <alignment horizontal="right" indent="1"/>
    </xf>
    <xf numFmtId="166" fontId="8" fillId="3" borderId="10" xfId="0" applyNumberFormat="1" applyFont="1" applyFill="1" applyBorder="1" applyAlignment="1">
      <alignment horizontal="right" indent="1"/>
    </xf>
    <xf numFmtId="165" fontId="8" fillId="9" borderId="8" xfId="0" applyNumberFormat="1" applyFont="1" applyFill="1" applyBorder="1" applyAlignment="1">
      <alignment horizontal="right" indent="1" shrinkToFit="1"/>
    </xf>
    <xf numFmtId="165" fontId="8" fillId="9" borderId="9" xfId="0" applyNumberFormat="1" applyFont="1" applyFill="1" applyBorder="1" applyAlignment="1">
      <alignment horizontal="right" indent="1" shrinkToFit="1"/>
    </xf>
    <xf numFmtId="165" fontId="8" fillId="9" borderId="10" xfId="0" applyNumberFormat="1" applyFont="1" applyFill="1" applyBorder="1" applyAlignment="1">
      <alignment horizontal="right" indent="1" shrinkToFit="1"/>
    </xf>
    <xf numFmtId="0" fontId="7" fillId="2" borderId="7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 shrinkToFit="1"/>
    </xf>
    <xf numFmtId="0" fontId="7" fillId="2" borderId="9" xfId="0" applyFont="1" applyFill="1" applyBorder="1" applyAlignment="1">
      <alignment horizontal="left" shrinkToFit="1"/>
    </xf>
    <xf numFmtId="0" fontId="7" fillId="2" borderId="10" xfId="0" applyFont="1" applyFill="1" applyBorder="1" applyAlignment="1">
      <alignment horizontal="left" shrinkToFit="1"/>
    </xf>
    <xf numFmtId="0" fontId="0" fillId="10" borderId="1" xfId="0" applyFill="1" applyBorder="1" applyAlignment="1">
      <alignment horizontal="center" wrapText="1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21" fillId="3" borderId="8" xfId="0" applyFont="1" applyFill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164" fontId="15" fillId="3" borderId="8" xfId="0" applyNumberFormat="1" applyFont="1" applyFill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171" fontId="4" fillId="9" borderId="8" xfId="0" applyNumberFormat="1" applyFont="1" applyFill="1" applyBorder="1" applyAlignment="1">
      <alignment horizontal="center" shrinkToFit="1"/>
    </xf>
    <xf numFmtId="171" fontId="0" fillId="9" borderId="9" xfId="0" applyNumberFormat="1" applyFont="1" applyFill="1" applyBorder="1" applyAlignment="1">
      <alignment horizontal="center" shrinkToFit="1"/>
    </xf>
    <xf numFmtId="171" fontId="0" fillId="9" borderId="10" xfId="0" applyNumberFormat="1" applyFont="1" applyFill="1" applyBorder="1" applyAlignment="1">
      <alignment horizontal="center" shrinkToFit="1"/>
    </xf>
    <xf numFmtId="0" fontId="5" fillId="2" borderId="7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1" fontId="21" fillId="3" borderId="8" xfId="0" applyNumberFormat="1" applyFont="1" applyFill="1" applyBorder="1" applyAlignment="1">
      <alignment horizontal="center"/>
    </xf>
    <xf numFmtId="1" fontId="22" fillId="0" borderId="9" xfId="0" applyNumberFormat="1" applyFont="1" applyBorder="1" applyAlignment="1">
      <alignment horizontal="center"/>
    </xf>
    <xf numFmtId="1" fontId="22" fillId="0" borderId="10" xfId="0" applyNumberFormat="1" applyFont="1" applyBorder="1" applyAlignment="1">
      <alignment horizontal="center"/>
    </xf>
    <xf numFmtId="0" fontId="5" fillId="2" borderId="8" xfId="0" applyFont="1" applyFill="1" applyBorder="1" applyAlignment="1">
      <alignment shrinkToFit="1"/>
    </xf>
    <xf numFmtId="0" fontId="5" fillId="2" borderId="9" xfId="0" applyFont="1" applyFill="1" applyBorder="1" applyAlignment="1">
      <alignment shrinkToFit="1"/>
    </xf>
    <xf numFmtId="0" fontId="5" fillId="2" borderId="10" xfId="0" applyFont="1" applyFill="1" applyBorder="1" applyAlignment="1">
      <alignment shrinkToFit="1"/>
    </xf>
    <xf numFmtId="0" fontId="5" fillId="2" borderId="1" xfId="0" applyFont="1" applyFill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left" vertical="center" shrinkToFit="1"/>
    </xf>
    <xf numFmtId="0" fontId="3" fillId="0" borderId="3" xfId="0" applyFont="1" applyBorder="1" applyAlignment="1">
      <alignment vertical="center" shrinkToFi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2" borderId="7" xfId="0" applyFont="1" applyFill="1" applyBorder="1" applyAlignment="1"/>
    <xf numFmtId="164" fontId="21" fillId="3" borderId="8" xfId="0" applyNumberFormat="1" applyFont="1" applyFill="1" applyBorder="1" applyAlignment="1">
      <alignment horizontal="center" shrinkToFit="1"/>
    </xf>
    <xf numFmtId="0" fontId="22" fillId="0" borderId="9" xfId="0" applyFont="1" applyBorder="1" applyAlignment="1">
      <alignment horizontal="center" shrinkToFit="1"/>
    </xf>
    <xf numFmtId="0" fontId="22" fillId="0" borderId="10" xfId="0" applyFont="1" applyBorder="1" applyAlignment="1">
      <alignment horizontal="center" shrinkToFit="1"/>
    </xf>
    <xf numFmtId="164" fontId="15" fillId="9" borderId="8" xfId="0" applyNumberFormat="1" applyFont="1" applyFill="1" applyBorder="1" applyAlignment="1">
      <alignment horizontal="center" shrinkToFit="1"/>
    </xf>
    <xf numFmtId="164" fontId="15" fillId="9" borderId="9" xfId="0" applyNumberFormat="1" applyFont="1" applyFill="1" applyBorder="1" applyAlignment="1">
      <alignment horizontal="center" shrinkToFit="1"/>
    </xf>
    <xf numFmtId="0" fontId="8" fillId="9" borderId="10" xfId="0" applyFont="1" applyFill="1" applyBorder="1" applyAlignment="1">
      <alignment horizontal="center" shrinkToFit="1"/>
    </xf>
    <xf numFmtId="0" fontId="0" fillId="6" borderId="1" xfId="0" applyFill="1" applyBorder="1" applyAlignment="1"/>
    <xf numFmtId="0" fontId="0" fillId="1" borderId="2" xfId="0" applyFill="1" applyBorder="1" applyAlignment="1"/>
    <xf numFmtId="0" fontId="0" fillId="1" borderId="3" xfId="0" applyFill="1" applyBorder="1" applyAlignment="1"/>
    <xf numFmtId="0" fontId="0" fillId="1" borderId="4" xfId="0" applyFill="1" applyBorder="1" applyAlignment="1"/>
    <xf numFmtId="0" fontId="0" fillId="1" borderId="5" xfId="0" applyFill="1" applyBorder="1" applyAlignment="1"/>
    <xf numFmtId="0" fontId="0" fillId="1" borderId="6" xfId="0" applyFill="1" applyBorder="1" applyAlignment="1"/>
    <xf numFmtId="1" fontId="8" fillId="3" borderId="8" xfId="0" applyNumberFormat="1" applyFont="1" applyFill="1" applyBorder="1" applyAlignment="1">
      <alignment horizontal="right" indent="1"/>
    </xf>
    <xf numFmtId="1" fontId="8" fillId="3" borderId="10" xfId="0" applyNumberFormat="1" applyFont="1" applyFill="1" applyBorder="1" applyAlignment="1">
      <alignment horizontal="right" indent="1"/>
    </xf>
    <xf numFmtId="0" fontId="24" fillId="8" borderId="8" xfId="0" applyFont="1" applyFill="1" applyBorder="1" applyAlignment="1">
      <alignment horizontal="center"/>
    </xf>
    <xf numFmtId="0" fontId="24" fillId="8" borderId="10" xfId="0" applyFont="1" applyFill="1" applyBorder="1" applyAlignment="1">
      <alignment horizontal="center"/>
    </xf>
    <xf numFmtId="0" fontId="24" fillId="8" borderId="8" xfId="0" applyFont="1" applyFill="1" applyBorder="1" applyAlignment="1"/>
    <xf numFmtId="0" fontId="24" fillId="8" borderId="9" xfId="0" applyFont="1" applyFill="1" applyBorder="1" applyAlignment="1"/>
    <xf numFmtId="0" fontId="24" fillId="8" borderId="10" xfId="0" applyFont="1" applyFill="1" applyBorder="1" applyAlignment="1"/>
    <xf numFmtId="167" fontId="25" fillId="3" borderId="8" xfId="0" applyNumberFormat="1" applyFont="1" applyFill="1" applyBorder="1" applyAlignment="1">
      <alignment horizontal="right" indent="1"/>
    </xf>
    <xf numFmtId="167" fontId="25" fillId="3" borderId="10" xfId="0" applyNumberFormat="1" applyFont="1" applyFill="1" applyBorder="1" applyAlignment="1">
      <alignment horizontal="right" indent="1"/>
    </xf>
    <xf numFmtId="0" fontId="24" fillId="8" borderId="8" xfId="0" applyFont="1" applyFill="1" applyBorder="1" applyAlignment="1">
      <alignment horizontal="left"/>
    </xf>
    <xf numFmtId="0" fontId="24" fillId="8" borderId="10" xfId="0" applyFont="1" applyFill="1" applyBorder="1" applyAlignment="1">
      <alignment horizontal="left"/>
    </xf>
    <xf numFmtId="172" fontId="24" fillId="3" borderId="8" xfId="0" applyNumberFormat="1" applyFont="1" applyFill="1" applyBorder="1" applyAlignment="1">
      <alignment horizontal="right" indent="1"/>
    </xf>
    <xf numFmtId="172" fontId="24" fillId="3" borderId="10" xfId="0" applyNumberFormat="1" applyFont="1" applyFill="1" applyBorder="1" applyAlignment="1">
      <alignment horizontal="right" indent="1"/>
    </xf>
    <xf numFmtId="1" fontId="24" fillId="9" borderId="8" xfId="0" applyNumberFormat="1" applyFont="1" applyFill="1" applyBorder="1" applyAlignment="1">
      <alignment horizontal="center"/>
    </xf>
    <xf numFmtId="1" fontId="24" fillId="9" borderId="10" xfId="0" applyNumberFormat="1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center"/>
    </xf>
    <xf numFmtId="3" fontId="25" fillId="3" borderId="8" xfId="0" applyNumberFormat="1" applyFont="1" applyFill="1" applyBorder="1" applyAlignment="1">
      <alignment horizontal="right" indent="1"/>
    </xf>
    <xf numFmtId="3" fontId="25" fillId="3" borderId="10" xfId="0" applyNumberFormat="1" applyFont="1" applyFill="1" applyBorder="1" applyAlignment="1">
      <alignment horizontal="right" indent="1"/>
    </xf>
    <xf numFmtId="167" fontId="23" fillId="4" borderId="8" xfId="0" applyNumberFormat="1" applyFont="1" applyFill="1" applyBorder="1" applyAlignment="1">
      <alignment horizontal="right" indent="1"/>
    </xf>
    <xf numFmtId="167" fontId="23" fillId="4" borderId="10" xfId="0" applyNumberFormat="1" applyFont="1" applyFill="1" applyBorder="1" applyAlignment="1">
      <alignment horizontal="right" indent="1"/>
    </xf>
    <xf numFmtId="167" fontId="27" fillId="4" borderId="8" xfId="0" applyNumberFormat="1" applyFont="1" applyFill="1" applyBorder="1" applyAlignment="1">
      <alignment horizontal="right" indent="1"/>
    </xf>
    <xf numFmtId="167" fontId="27" fillId="4" borderId="10" xfId="0" applyNumberFormat="1" applyFont="1" applyFill="1" applyBorder="1" applyAlignment="1">
      <alignment horizontal="right" indent="1"/>
    </xf>
    <xf numFmtId="167" fontId="25" fillId="9" borderId="8" xfId="0" applyNumberFormat="1" applyFont="1" applyFill="1" applyBorder="1" applyAlignment="1">
      <alignment horizontal="right" indent="1"/>
    </xf>
    <xf numFmtId="167" fontId="25" fillId="9" borderId="10" xfId="0" applyNumberFormat="1" applyFont="1" applyFill="1" applyBorder="1" applyAlignment="1">
      <alignment horizontal="right" indent="1"/>
    </xf>
    <xf numFmtId="0" fontId="25" fillId="2" borderId="8" xfId="0" applyFont="1" applyFill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26" fillId="2" borderId="8" xfId="0" applyFont="1" applyFill="1" applyBorder="1" applyAlignment="1">
      <alignment horizontal="left" indent="3"/>
    </xf>
    <xf numFmtId="0" fontId="26" fillId="2" borderId="9" xfId="0" applyFont="1" applyFill="1" applyBorder="1" applyAlignment="1">
      <alignment horizontal="left" indent="3"/>
    </xf>
    <xf numFmtId="0" fontId="26" fillId="2" borderId="10" xfId="0" applyFont="1" applyFill="1" applyBorder="1" applyAlignment="1">
      <alignment horizontal="left" indent="3"/>
    </xf>
    <xf numFmtId="0" fontId="23" fillId="2" borderId="8" xfId="0" applyFont="1" applyFill="1" applyBorder="1" applyAlignment="1">
      <alignment horizontal="left"/>
    </xf>
    <xf numFmtId="0" fontId="23" fillId="2" borderId="9" xfId="0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23" fillId="10" borderId="8" xfId="0" applyFont="1" applyFill="1" applyBorder="1" applyAlignment="1"/>
    <xf numFmtId="0" fontId="23" fillId="10" borderId="9" xfId="0" applyFont="1" applyFill="1" applyBorder="1" applyAlignment="1"/>
    <xf numFmtId="0" fontId="23" fillId="10" borderId="10" xfId="0" applyFont="1" applyFill="1" applyBorder="1" applyAlignment="1"/>
    <xf numFmtId="167" fontId="24" fillId="3" borderId="8" xfId="0" applyNumberFormat="1" applyFont="1" applyFill="1" applyBorder="1" applyAlignment="1">
      <alignment horizontal="right" indent="1"/>
    </xf>
    <xf numFmtId="167" fontId="24" fillId="3" borderId="10" xfId="0" applyNumberFormat="1" applyFont="1" applyFill="1" applyBorder="1" applyAlignment="1">
      <alignment horizontal="right" indent="1"/>
    </xf>
    <xf numFmtId="0" fontId="23" fillId="2" borderId="8" xfId="0" applyFont="1" applyFill="1" applyBorder="1" applyAlignment="1">
      <alignment horizontal="center"/>
    </xf>
    <xf numFmtId="0" fontId="23" fillId="2" borderId="10" xfId="0" applyFont="1" applyFill="1" applyBorder="1" applyAlignment="1">
      <alignment horizontal="center"/>
    </xf>
    <xf numFmtId="0" fontId="24" fillId="8" borderId="9" xfId="0" applyFont="1" applyFill="1" applyBorder="1" applyAlignment="1">
      <alignment horizontal="left"/>
    </xf>
    <xf numFmtId="0" fontId="24" fillId="3" borderId="8" xfId="0" applyFont="1" applyFill="1" applyBorder="1" applyAlignment="1">
      <alignment horizontal="center"/>
    </xf>
    <xf numFmtId="0" fontId="24" fillId="3" borderId="10" xfId="0" applyFont="1" applyFill="1" applyBorder="1" applyAlignment="1">
      <alignment horizontal="center"/>
    </xf>
    <xf numFmtId="0" fontId="0" fillId="0" borderId="0" xfId="0" applyAlignment="1"/>
    <xf numFmtId="0" fontId="23" fillId="10" borderId="8" xfId="0" applyFont="1" applyFill="1" applyBorder="1" applyAlignment="1">
      <alignment horizontal="center"/>
    </xf>
    <xf numFmtId="0" fontId="23" fillId="10" borderId="10" xfId="0" applyFont="1" applyFill="1" applyBorder="1" applyAlignment="1">
      <alignment horizontal="center"/>
    </xf>
    <xf numFmtId="3" fontId="25" fillId="4" borderId="8" xfId="0" applyNumberFormat="1" applyFont="1" applyFill="1" applyBorder="1" applyAlignment="1">
      <alignment horizontal="right" indent="1"/>
    </xf>
    <xf numFmtId="3" fontId="25" fillId="4" borderId="10" xfId="0" applyNumberFormat="1" applyFont="1" applyFill="1" applyBorder="1" applyAlignment="1">
      <alignment horizontal="right" indent="1"/>
    </xf>
    <xf numFmtId="0" fontId="23" fillId="2" borderId="8" xfId="0" applyFont="1" applyFill="1" applyBorder="1" applyAlignment="1"/>
    <xf numFmtId="0" fontId="23" fillId="2" borderId="9" xfId="0" applyFont="1" applyFill="1" applyBorder="1" applyAlignment="1"/>
    <xf numFmtId="0" fontId="23" fillId="2" borderId="10" xfId="0" applyFont="1" applyFill="1" applyBorder="1" applyAlignment="1"/>
    <xf numFmtId="167" fontId="26" fillId="4" borderId="8" xfId="0" applyNumberFormat="1" applyFont="1" applyFill="1" applyBorder="1" applyAlignment="1">
      <alignment horizontal="right" indent="1"/>
    </xf>
    <xf numFmtId="167" fontId="26" fillId="4" borderId="10" xfId="0" applyNumberFormat="1" applyFont="1" applyFill="1" applyBorder="1" applyAlignment="1">
      <alignment horizontal="right" indent="1"/>
    </xf>
    <xf numFmtId="1" fontId="24" fillId="8" borderId="8" xfId="0" applyNumberFormat="1" applyFont="1" applyFill="1" applyBorder="1" applyAlignment="1">
      <alignment horizontal="left" indent="2"/>
    </xf>
    <xf numFmtId="1" fontId="24" fillId="8" borderId="10" xfId="0" applyNumberFormat="1" applyFont="1" applyFill="1" applyBorder="1" applyAlignment="1">
      <alignment horizontal="left" indent="2"/>
    </xf>
    <xf numFmtId="0" fontId="23" fillId="2" borderId="8" xfId="0" applyFont="1" applyFill="1" applyBorder="1" applyAlignment="1">
      <alignment horizontal="left" indent="2"/>
    </xf>
    <xf numFmtId="0" fontId="23" fillId="2" borderId="9" xfId="0" applyFont="1" applyFill="1" applyBorder="1" applyAlignment="1">
      <alignment horizontal="left" indent="2"/>
    </xf>
    <xf numFmtId="0" fontId="23" fillId="2" borderId="10" xfId="0" applyFont="1" applyFill="1" applyBorder="1" applyAlignment="1">
      <alignment horizontal="left" indent="2"/>
    </xf>
    <xf numFmtId="0" fontId="26" fillId="2" borderId="8" xfId="0" applyFont="1" applyFill="1" applyBorder="1" applyAlignment="1">
      <alignment horizontal="left" indent="2"/>
    </xf>
    <xf numFmtId="0" fontId="26" fillId="2" borderId="9" xfId="0" applyFont="1" applyFill="1" applyBorder="1" applyAlignment="1">
      <alignment horizontal="left" indent="2"/>
    </xf>
    <xf numFmtId="0" fontId="26" fillId="2" borderId="10" xfId="0" applyFont="1" applyFill="1" applyBorder="1" applyAlignment="1">
      <alignment horizontal="left" indent="2"/>
    </xf>
    <xf numFmtId="0" fontId="24" fillId="8" borderId="9" xfId="0" applyFont="1" applyFill="1" applyBorder="1" applyAlignment="1">
      <alignment horizontal="center"/>
    </xf>
  </cellXfs>
  <cellStyles count="9">
    <cellStyle name="Hyperlink" xfId="5" builtinId="8"/>
    <cellStyle name="Normal" xfId="0" builtinId="0"/>
    <cellStyle name="Normal 2" xfId="4" xr:uid="{00000000-0005-0000-0000-000002000000}"/>
    <cellStyle name="Normal 2 2" xfId="6" xr:uid="{00000000-0005-0000-0000-000003000000}"/>
    <cellStyle name="Normal 2 3" xfId="7" xr:uid="{00000000-0005-0000-0000-000004000000}"/>
    <cellStyle name="Normal 6" xfId="8" xr:uid="{00000000-0005-0000-0000-000005000000}"/>
    <cellStyle name="Normal_auctions oklahoma" xfId="2" xr:uid="{00000000-0005-0000-0000-000006000000}"/>
    <cellStyle name="Normal_combined auction OK" xfId="1" xr:uid="{00000000-0005-0000-0000-000007000000}"/>
    <cellStyle name="Normal_feederfutures" xfId="3" xr:uid="{00000000-0005-0000-0000-000008000000}"/>
  </cellStyles>
  <dxfs count="0"/>
  <tableStyles count="0" defaultTableStyle="TableStyleMedium9" defaultPivotStyle="PivotStyleLight16"/>
  <colors>
    <mruColors>
      <color rgb="FFFF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285749</xdr:colOff>
      <xdr:row>2</xdr:row>
      <xdr:rowOff>819150</xdr:rowOff>
    </xdr:from>
    <xdr:to>
      <xdr:col>9</xdr:col>
      <xdr:colOff>542924</xdr:colOff>
      <xdr:row>2</xdr:row>
      <xdr:rowOff>1685924</xdr:rowOff>
    </xdr:to>
    <xdr:pic>
      <xdr:nvPicPr>
        <xdr:cNvPr id="2" name="Picture 1" descr="Extensionlogo5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62549" y="1200150"/>
          <a:ext cx="866775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47626</xdr:colOff>
      <xdr:row>2</xdr:row>
      <xdr:rowOff>809624</xdr:rowOff>
    </xdr:from>
    <xdr:to>
      <xdr:col>2</xdr:col>
      <xdr:colOff>295276</xdr:colOff>
      <xdr:row>2</xdr:row>
      <xdr:rowOff>1695449</xdr:rowOff>
    </xdr:to>
    <xdr:pic>
      <xdr:nvPicPr>
        <xdr:cNvPr id="3" name="Picture 2" descr="Research+logo7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7226" y="1190624"/>
          <a:ext cx="8572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10</xdr:row>
          <xdr:rowOff>30480</xdr:rowOff>
        </xdr:from>
        <xdr:to>
          <xdr:col>8</xdr:col>
          <xdr:colOff>464820</xdr:colOff>
          <xdr:row>11</xdr:row>
          <xdr:rowOff>121920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UPDATE PRICE DATA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30480</xdr:colOff>
          <xdr:row>25</xdr:row>
          <xdr:rowOff>83820</xdr:rowOff>
        </xdr:from>
        <xdr:to>
          <xdr:col>12</xdr:col>
          <xdr:colOff>160020</xdr:colOff>
          <xdr:row>28</xdr:row>
          <xdr:rowOff>7620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Return to Inputs Page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</xdr:colOff>
          <xdr:row>29</xdr:row>
          <xdr:rowOff>76200</xdr:rowOff>
        </xdr:from>
        <xdr:to>
          <xdr:col>12</xdr:col>
          <xdr:colOff>160020</xdr:colOff>
          <xdr:row>32</xdr:row>
          <xdr:rowOff>7620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Cancel and Return to Inputs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sprad\Downloads\stocker%20purcha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attle"/>
      <sheetName val="profit-steers"/>
      <sheetName val="lists"/>
      <sheetName val="Inputs"/>
      <sheetName val="Steers"/>
      <sheetName val="Steer cost of gain"/>
    </sheetNames>
    <sheetDataSet>
      <sheetData sheetId="0"/>
      <sheetData sheetId="1"/>
      <sheetData sheetId="2"/>
      <sheetData sheetId="3">
        <row r="2">
          <cell r="A2">
            <v>300</v>
          </cell>
          <cell r="C2" t="str">
            <v>Steers</v>
          </cell>
        </row>
        <row r="3">
          <cell r="A3">
            <v>350</v>
          </cell>
          <cell r="C3" t="str">
            <v>Heifers</v>
          </cell>
        </row>
        <row r="4">
          <cell r="A4">
            <v>400</v>
          </cell>
          <cell r="C4" t="str">
            <v>Steers and Heifers</v>
          </cell>
        </row>
        <row r="5">
          <cell r="A5">
            <v>450</v>
          </cell>
        </row>
        <row r="6">
          <cell r="A6">
            <v>500</v>
          </cell>
        </row>
        <row r="7">
          <cell r="A7">
            <v>550</v>
          </cell>
        </row>
        <row r="8">
          <cell r="A8">
            <v>600</v>
          </cell>
        </row>
        <row r="9">
          <cell r="A9">
            <v>650</v>
          </cell>
        </row>
        <row r="10">
          <cell r="A10">
            <v>700</v>
          </cell>
        </row>
        <row r="11">
          <cell r="A11">
            <v>750</v>
          </cell>
        </row>
        <row r="12">
          <cell r="A12">
            <v>800</v>
          </cell>
        </row>
      </sheetData>
      <sheetData sheetId="4"/>
      <sheetData sheetId="5">
        <row r="2">
          <cell r="A2">
            <v>300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gecon.okstate.edu/faculty/publications/323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Q53"/>
  <sheetViews>
    <sheetView tabSelected="1" zoomScale="85" zoomScaleNormal="85" workbookViewId="0">
      <selection activeCell="M31" sqref="M31"/>
    </sheetView>
  </sheetViews>
  <sheetFormatPr defaultRowHeight="14.4"/>
  <cols>
    <col min="1" max="1" width="3.5546875" customWidth="1"/>
  </cols>
  <sheetData>
    <row r="2" spans="2:17">
      <c r="B2" s="117" t="s">
        <v>206</v>
      </c>
      <c r="C2" s="118"/>
      <c r="D2" s="118"/>
      <c r="E2" s="118"/>
      <c r="F2" s="118"/>
      <c r="G2" s="118"/>
      <c r="H2" s="118"/>
      <c r="I2" s="118"/>
      <c r="J2" s="119"/>
    </row>
    <row r="3" spans="2:17" ht="146.25" customHeight="1">
      <c r="B3" s="120"/>
      <c r="C3" s="121"/>
      <c r="D3" s="121"/>
      <c r="E3" s="121"/>
      <c r="F3" s="121"/>
      <c r="G3" s="121"/>
      <c r="H3" s="121"/>
      <c r="I3" s="121"/>
      <c r="J3" s="122"/>
    </row>
    <row r="4" spans="2:17" ht="12.75" customHeight="1">
      <c r="I4" s="87" t="s">
        <v>217</v>
      </c>
      <c r="J4" s="87"/>
    </row>
    <row r="5" spans="2:17" ht="11.25" customHeight="1"/>
    <row r="6" spans="2:17" ht="23.4">
      <c r="B6" s="2" t="s">
        <v>0</v>
      </c>
      <c r="C6" s="123" t="s">
        <v>209</v>
      </c>
      <c r="D6" s="124"/>
      <c r="E6" s="125"/>
      <c r="G6" s="12"/>
      <c r="H6" s="12"/>
      <c r="I6" s="85" t="s">
        <v>207</v>
      </c>
      <c r="J6" s="86"/>
    </row>
    <row r="7" spans="2:17" ht="21">
      <c r="B7" s="2" t="s">
        <v>1</v>
      </c>
      <c r="C7" s="126">
        <v>41879</v>
      </c>
      <c r="D7" s="127"/>
      <c r="E7" s="128"/>
      <c r="G7" s="12"/>
      <c r="H7" s="12"/>
      <c r="I7" s="12"/>
      <c r="J7" s="12"/>
    </row>
    <row r="9" spans="2:17" ht="23.4">
      <c r="B9" s="137" t="s">
        <v>72</v>
      </c>
      <c r="C9" s="138"/>
      <c r="D9" s="138"/>
      <c r="E9" s="138"/>
      <c r="F9" s="138"/>
      <c r="G9" s="139"/>
      <c r="H9" s="147" t="s">
        <v>41</v>
      </c>
      <c r="I9" s="148"/>
      <c r="J9" s="149"/>
    </row>
    <row r="10" spans="2:17" ht="23.25" customHeight="1">
      <c r="B10" s="146" t="s">
        <v>42</v>
      </c>
      <c r="C10" s="146"/>
      <c r="D10" s="146"/>
      <c r="E10" s="146"/>
      <c r="F10" s="146"/>
      <c r="G10" s="146"/>
      <c r="H10" s="150">
        <f>IF(H9="OKC",'OKC prices'!A1,'combined prices'!A1)</f>
        <v>42237</v>
      </c>
      <c r="I10" s="151"/>
      <c r="J10" s="152"/>
    </row>
    <row r="11" spans="2:17" ht="16.5" customHeight="1">
      <c r="B11" s="140" t="s">
        <v>11</v>
      </c>
      <c r="C11" s="141"/>
      <c r="D11" s="141"/>
      <c r="E11" s="141"/>
      <c r="F11" s="142"/>
      <c r="G11" s="153"/>
      <c r="H11" s="154"/>
      <c r="I11" s="155"/>
    </row>
    <row r="12" spans="2:17" ht="16.5" customHeight="1">
      <c r="B12" s="143"/>
      <c r="C12" s="144"/>
      <c r="D12" s="144"/>
      <c r="E12" s="144"/>
      <c r="F12" s="145"/>
      <c r="G12" s="156"/>
      <c r="H12" s="157"/>
      <c r="I12" s="158"/>
    </row>
    <row r="14" spans="2:17" ht="23.4">
      <c r="B14" s="132" t="s">
        <v>5</v>
      </c>
      <c r="C14" s="132"/>
      <c r="D14" s="132"/>
      <c r="E14" s="133"/>
      <c r="F14" s="68" t="s">
        <v>140</v>
      </c>
      <c r="G14" s="69">
        <v>14</v>
      </c>
      <c r="H14" s="70">
        <v>2015</v>
      </c>
      <c r="K14" s="11"/>
    </row>
    <row r="15" spans="2:17" ht="23.4">
      <c r="B15" s="132" t="s">
        <v>2</v>
      </c>
      <c r="C15" s="132"/>
      <c r="D15" s="132"/>
      <c r="E15" s="133"/>
      <c r="F15" s="134">
        <v>14</v>
      </c>
      <c r="G15" s="135"/>
      <c r="H15" s="136"/>
    </row>
    <row r="16" spans="2:17" ht="23.25" customHeight="1">
      <c r="B16" s="132" t="s">
        <v>3</v>
      </c>
      <c r="C16" s="132"/>
      <c r="D16" s="132"/>
      <c r="E16" s="133"/>
      <c r="F16" s="134">
        <v>95</v>
      </c>
      <c r="G16" s="135"/>
      <c r="H16" s="136"/>
      <c r="I16" s="3"/>
      <c r="J16" s="3"/>
      <c r="K16" s="3"/>
      <c r="L16" s="3"/>
      <c r="N16" s="3"/>
      <c r="O16" s="3"/>
      <c r="P16" s="4"/>
      <c r="Q16" s="4"/>
    </row>
    <row r="17" spans="2:9" ht="21.75" customHeight="1">
      <c r="B17" s="132" t="s">
        <v>4</v>
      </c>
      <c r="C17" s="132"/>
      <c r="D17" s="132"/>
      <c r="E17" s="133"/>
      <c r="F17" s="129">
        <f>IF(VLOOKUP(F14,lists!A7:B18,2,FALSE)+F15+F16-365+G14&lt;0,VLOOKUP(F14,lists!A7:B18,2,FALSE)+F15+F16+G14,VLOOKUP(F14,lists!A7:B18,2,FALSE)+F15+F16-365+G14)</f>
        <v>62</v>
      </c>
      <c r="G17" s="130"/>
      <c r="H17" s="131"/>
    </row>
    <row r="18" spans="2:9" ht="16.5" customHeight="1">
      <c r="B18" s="10"/>
      <c r="C18" s="10"/>
      <c r="D18" s="10"/>
      <c r="E18" s="10"/>
      <c r="F18" s="10"/>
      <c r="G18" s="10"/>
      <c r="H18" s="10"/>
    </row>
    <row r="19" spans="2:9" ht="22.5" customHeight="1">
      <c r="B19" s="1"/>
      <c r="C19" s="1"/>
      <c r="D19" s="1"/>
      <c r="F19" s="97" t="s">
        <v>6</v>
      </c>
      <c r="G19" s="97"/>
      <c r="H19" s="97" t="s">
        <v>7</v>
      </c>
      <c r="I19" s="97"/>
    </row>
    <row r="20" spans="2:9" ht="21">
      <c r="B20" s="110" t="s">
        <v>9</v>
      </c>
      <c r="C20" s="110"/>
      <c r="D20" s="110"/>
      <c r="E20" s="7" t="s">
        <v>73</v>
      </c>
      <c r="F20" s="159">
        <v>425</v>
      </c>
      <c r="G20" s="160"/>
      <c r="H20" s="159">
        <v>450</v>
      </c>
      <c r="I20" s="160"/>
    </row>
    <row r="21" spans="2:9" ht="21">
      <c r="B21" s="111" t="s">
        <v>10</v>
      </c>
      <c r="C21" s="112"/>
      <c r="D21" s="113"/>
      <c r="E21" s="7" t="s">
        <v>28</v>
      </c>
      <c r="F21" s="103">
        <v>291.25856395667273</v>
      </c>
      <c r="G21" s="104"/>
      <c r="H21" s="103">
        <v>242.8552798567147</v>
      </c>
      <c r="I21" s="104"/>
    </row>
    <row r="22" spans="2:9" ht="21">
      <c r="B22" s="111" t="s">
        <v>12</v>
      </c>
      <c r="C22" s="112"/>
      <c r="D22" s="113"/>
      <c r="E22" s="7" t="s">
        <v>13</v>
      </c>
      <c r="F22" s="92">
        <f>F20*F21/100</f>
        <v>1237.848896815859</v>
      </c>
      <c r="G22" s="92"/>
      <c r="H22" s="92">
        <f>H20*H21/100</f>
        <v>1092.8487593552161</v>
      </c>
      <c r="I22" s="92"/>
    </row>
    <row r="23" spans="2:9" ht="21" customHeight="1">
      <c r="B23" s="6"/>
      <c r="C23" s="6"/>
      <c r="D23" s="6"/>
      <c r="E23" s="8"/>
      <c r="F23" s="6"/>
      <c r="G23" s="6"/>
      <c r="H23" s="6"/>
      <c r="I23" s="6"/>
    </row>
    <row r="24" spans="2:9" ht="21">
      <c r="B24" s="114" t="s">
        <v>14</v>
      </c>
      <c r="C24" s="115"/>
      <c r="D24" s="116"/>
      <c r="E24" s="7" t="s">
        <v>74</v>
      </c>
      <c r="F24" s="103">
        <v>1.25</v>
      </c>
      <c r="G24" s="104"/>
      <c r="H24" s="103">
        <v>1</v>
      </c>
      <c r="I24" s="104"/>
    </row>
    <row r="25" spans="2:9" ht="21">
      <c r="B25" s="114" t="s">
        <v>15</v>
      </c>
      <c r="C25" s="115"/>
      <c r="D25" s="116"/>
      <c r="E25" s="7" t="s">
        <v>74</v>
      </c>
      <c r="F25" s="103">
        <v>2.5</v>
      </c>
      <c r="G25" s="104"/>
      <c r="H25" s="103">
        <v>2</v>
      </c>
      <c r="I25" s="104"/>
    </row>
    <row r="26" spans="2:9" ht="21">
      <c r="B26" s="114" t="s">
        <v>16</v>
      </c>
      <c r="C26" s="115"/>
      <c r="D26" s="116"/>
      <c r="E26" s="7" t="s">
        <v>17</v>
      </c>
      <c r="F26" s="105">
        <v>5.0000000000000001E-3</v>
      </c>
      <c r="G26" s="106"/>
      <c r="H26" s="105">
        <v>5.0000000000000001E-3</v>
      </c>
      <c r="I26" s="106"/>
    </row>
    <row r="27" spans="2:9" ht="21">
      <c r="B27" s="114" t="s">
        <v>18</v>
      </c>
      <c r="C27" s="115"/>
      <c r="D27" s="116"/>
      <c r="E27" s="7" t="s">
        <v>19</v>
      </c>
      <c r="F27" s="103">
        <v>0.48</v>
      </c>
      <c r="G27" s="104"/>
      <c r="H27" s="103">
        <v>0.48</v>
      </c>
      <c r="I27" s="104"/>
    </row>
    <row r="28" spans="2:9" ht="21">
      <c r="B28" s="114"/>
      <c r="C28" s="115"/>
      <c r="D28" s="116"/>
      <c r="E28" s="7" t="s">
        <v>75</v>
      </c>
      <c r="F28" s="107">
        <f>F20*F27</f>
        <v>204</v>
      </c>
      <c r="G28" s="108"/>
      <c r="H28" s="107">
        <f>H20*H27</f>
        <v>216</v>
      </c>
      <c r="I28" s="109"/>
    </row>
    <row r="30" spans="2:9" ht="21">
      <c r="B30" s="114" t="s">
        <v>20</v>
      </c>
      <c r="C30" s="115"/>
      <c r="D30" s="116"/>
      <c r="E30" s="7" t="s">
        <v>13</v>
      </c>
      <c r="F30" s="101">
        <v>5</v>
      </c>
      <c r="G30" s="102"/>
      <c r="H30" s="101">
        <v>5</v>
      </c>
      <c r="I30" s="102"/>
    </row>
    <row r="31" spans="2:9" ht="21">
      <c r="B31" s="114" t="s">
        <v>21</v>
      </c>
      <c r="C31" s="115"/>
      <c r="D31" s="116"/>
      <c r="E31" s="7" t="s">
        <v>13</v>
      </c>
      <c r="F31" s="101">
        <v>5</v>
      </c>
      <c r="G31" s="102"/>
      <c r="H31" s="101">
        <v>5</v>
      </c>
      <c r="I31" s="102"/>
    </row>
    <row r="32" spans="2:9" ht="21">
      <c r="B32" s="114" t="s">
        <v>77</v>
      </c>
      <c r="C32" s="115"/>
      <c r="D32" s="116"/>
      <c r="E32" s="7" t="s">
        <v>13</v>
      </c>
      <c r="F32" s="101">
        <v>0</v>
      </c>
      <c r="G32" s="102"/>
      <c r="H32" s="101">
        <v>0</v>
      </c>
      <c r="I32" s="102"/>
    </row>
    <row r="33" spans="2:13" ht="21">
      <c r="B33" s="114" t="s">
        <v>204</v>
      </c>
      <c r="C33" s="115"/>
      <c r="D33" s="116"/>
      <c r="E33" s="7" t="s">
        <v>76</v>
      </c>
      <c r="F33" s="101">
        <v>0.6</v>
      </c>
      <c r="G33" s="102"/>
      <c r="H33" s="101">
        <v>0.6</v>
      </c>
      <c r="I33" s="102"/>
    </row>
    <row r="34" spans="2:13">
      <c r="E34" s="9"/>
      <c r="F34" s="71"/>
      <c r="G34" s="71"/>
      <c r="H34" s="71"/>
      <c r="I34" s="71"/>
    </row>
    <row r="35" spans="2:13" ht="21">
      <c r="B35" s="114" t="s">
        <v>23</v>
      </c>
      <c r="C35" s="115"/>
      <c r="D35" s="116"/>
      <c r="E35" s="7" t="s">
        <v>24</v>
      </c>
      <c r="F35" s="105">
        <v>0.05</v>
      </c>
      <c r="G35" s="106"/>
      <c r="H35" s="72"/>
      <c r="I35" s="72"/>
    </row>
    <row r="37" spans="2:13" ht="9" customHeight="1"/>
    <row r="38" spans="2:13" ht="21">
      <c r="B38" s="98" t="s">
        <v>25</v>
      </c>
      <c r="C38" s="98"/>
      <c r="D38" s="98"/>
      <c r="E38" s="98"/>
      <c r="F38" s="98"/>
      <c r="G38" s="98"/>
      <c r="H38" s="98"/>
      <c r="I38" s="99"/>
      <c r="J38" s="99"/>
      <c r="K38" s="99"/>
      <c r="L38" s="99"/>
      <c r="M38" s="99"/>
    </row>
    <row r="39" spans="2:13" ht="18">
      <c r="B39" s="100"/>
      <c r="C39" s="100"/>
      <c r="D39" s="100"/>
      <c r="E39" s="100"/>
      <c r="F39" s="97" t="s">
        <v>6</v>
      </c>
      <c r="G39" s="97"/>
      <c r="H39" s="97"/>
      <c r="I39" s="97"/>
      <c r="J39" s="97" t="s">
        <v>7</v>
      </c>
      <c r="K39" s="97"/>
      <c r="L39" s="97"/>
      <c r="M39" s="97"/>
    </row>
    <row r="40" spans="2:13" ht="21">
      <c r="B40" s="96" t="s">
        <v>29</v>
      </c>
      <c r="C40" s="96"/>
      <c r="D40" s="96"/>
      <c r="E40" s="96"/>
      <c r="F40" s="95" t="s">
        <v>30</v>
      </c>
      <c r="G40" s="95"/>
      <c r="H40" s="95" t="s">
        <v>31</v>
      </c>
      <c r="I40" s="95"/>
      <c r="J40" s="95" t="s">
        <v>30</v>
      </c>
      <c r="K40" s="95"/>
      <c r="L40" s="95" t="s">
        <v>31</v>
      </c>
      <c r="M40" s="95"/>
    </row>
    <row r="41" spans="2:13" ht="21">
      <c r="B41" s="91" t="s">
        <v>26</v>
      </c>
      <c r="C41" s="91"/>
      <c r="D41" s="91"/>
      <c r="E41" s="5" t="s">
        <v>8</v>
      </c>
      <c r="F41" s="92">
        <f>(F20+F24*$F$15+$F$16*F25)</f>
        <v>680</v>
      </c>
      <c r="G41" s="92"/>
      <c r="H41" s="92">
        <f>(F24*F15+F25*F16)/(F16+F15)</f>
        <v>2.3394495412844036</v>
      </c>
      <c r="I41" s="92"/>
      <c r="J41" s="92">
        <f>(H20+(H24*F15)+(F16*H25))</f>
        <v>654</v>
      </c>
      <c r="K41" s="92"/>
      <c r="L41" s="92">
        <f>(H24*F15+F16*H25)/(F15+F16)</f>
        <v>1.871559633027523</v>
      </c>
      <c r="M41" s="92"/>
    </row>
    <row r="42" spans="2:13" ht="21">
      <c r="B42" s="91" t="s">
        <v>27</v>
      </c>
      <c r="C42" s="91"/>
      <c r="D42" s="91"/>
      <c r="E42" s="5" t="s">
        <v>28</v>
      </c>
      <c r="F42" s="94">
        <v>205.7706030517578</v>
      </c>
      <c r="G42" s="94"/>
      <c r="H42" s="92">
        <f>F42</f>
        <v>205.7706030517578</v>
      </c>
      <c r="I42" s="92"/>
      <c r="J42" s="94">
        <v>193.37512305175781</v>
      </c>
      <c r="K42" s="94"/>
      <c r="L42" s="92">
        <f>J42</f>
        <v>193.37512305175781</v>
      </c>
      <c r="M42" s="92"/>
    </row>
    <row r="43" spans="2:13" ht="21">
      <c r="B43" s="88" t="s">
        <v>32</v>
      </c>
      <c r="C43" s="88"/>
      <c r="D43" s="88"/>
      <c r="E43" s="5" t="s">
        <v>13</v>
      </c>
      <c r="F43" s="89">
        <f>F42*F41/100*(1-F26)</f>
        <v>1392.2439002481933</v>
      </c>
      <c r="G43" s="89"/>
      <c r="H43" s="89">
        <f t="shared" ref="H43" si="0">H41*H42/100</f>
        <v>4.8138994291924995</v>
      </c>
      <c r="I43" s="89"/>
      <c r="J43" s="89">
        <f>J42*J41/100*(1-H26)</f>
        <v>1258.3499382347036</v>
      </c>
      <c r="K43" s="89"/>
      <c r="L43" s="89">
        <f t="shared" ref="L43" si="1">L41*L42/100</f>
        <v>3.6191307433539999</v>
      </c>
      <c r="M43" s="89"/>
    </row>
    <row r="44" spans="2:13" ht="6" customHeight="1">
      <c r="B44" s="91"/>
      <c r="C44" s="91"/>
      <c r="D44" s="91"/>
      <c r="E44" s="5"/>
      <c r="F44" s="92"/>
      <c r="G44" s="92"/>
      <c r="H44" s="92"/>
      <c r="I44" s="92"/>
      <c r="J44" s="92"/>
      <c r="K44" s="92"/>
      <c r="L44" s="92"/>
      <c r="M44" s="92"/>
    </row>
    <row r="45" spans="2:13" ht="21">
      <c r="B45" s="88" t="s">
        <v>38</v>
      </c>
      <c r="C45" s="88"/>
      <c r="D45" s="88"/>
      <c r="E45" s="93"/>
      <c r="F45" s="92"/>
      <c r="G45" s="92"/>
      <c r="H45" s="92"/>
      <c r="I45" s="92"/>
      <c r="J45" s="92"/>
      <c r="K45" s="92"/>
      <c r="L45" s="92"/>
      <c r="M45" s="92"/>
    </row>
    <row r="46" spans="2:13" ht="21">
      <c r="B46" s="91" t="s">
        <v>33</v>
      </c>
      <c r="C46" s="91"/>
      <c r="D46" s="91"/>
      <c r="E46" s="5" t="s">
        <v>13</v>
      </c>
      <c r="F46" s="92">
        <f>F22/(1-F26)</f>
        <v>1244.0692430310141</v>
      </c>
      <c r="G46" s="92"/>
      <c r="H46" s="90"/>
      <c r="I46" s="90"/>
      <c r="J46" s="92">
        <f>H22/(1-H26)</f>
        <v>1098.3404616635337</v>
      </c>
      <c r="K46" s="92"/>
      <c r="L46" s="90"/>
      <c r="M46" s="90"/>
    </row>
    <row r="47" spans="2:13" ht="21">
      <c r="B47" s="91" t="s">
        <v>22</v>
      </c>
      <c r="C47" s="91"/>
      <c r="D47" s="91"/>
      <c r="E47" s="5" t="s">
        <v>13</v>
      </c>
      <c r="F47" s="92">
        <f>F33*(F24*F15+F25*F16)/(1-F26)</f>
        <v>153.76884422110552</v>
      </c>
      <c r="G47" s="92"/>
      <c r="H47" s="92">
        <f>F47/($F$15+$F$16)</f>
        <v>1.4107233414780322</v>
      </c>
      <c r="I47" s="92"/>
      <c r="J47" s="92">
        <f>H33*(F15*H24+F16*H25)/(1-H26)</f>
        <v>123.01507537688441</v>
      </c>
      <c r="K47" s="92"/>
      <c r="L47" s="92">
        <f>J47/($F$15+$F$16)</f>
        <v>1.1285786731824259</v>
      </c>
      <c r="M47" s="92"/>
    </row>
    <row r="48" spans="2:13" ht="21">
      <c r="B48" s="91" t="s">
        <v>78</v>
      </c>
      <c r="C48" s="91"/>
      <c r="D48" s="91"/>
      <c r="E48" s="5" t="s">
        <v>13</v>
      </c>
      <c r="F48" s="92">
        <f>F31+F32*(F15+F16)/30.5+F30/(1-F26)</f>
        <v>10.025125628140703</v>
      </c>
      <c r="G48" s="92"/>
      <c r="H48" s="92">
        <f>F48/($F$15+$F$16)</f>
        <v>9.1973629615969749E-2</v>
      </c>
      <c r="I48" s="92"/>
      <c r="J48" s="92">
        <f>H31+H32*(F15+F16)/30.5+H30/(1-H26)</f>
        <v>10.025125628140703</v>
      </c>
      <c r="K48" s="92"/>
      <c r="L48" s="92">
        <f>J48/($F$15+$F$16)</f>
        <v>9.1973629615969749E-2</v>
      </c>
      <c r="M48" s="92"/>
    </row>
    <row r="49" spans="2:13" ht="21">
      <c r="B49" s="91" t="s">
        <v>34</v>
      </c>
      <c r="C49" s="91"/>
      <c r="D49" s="91"/>
      <c r="E49" s="5" t="s">
        <v>13</v>
      </c>
      <c r="F49" s="92">
        <f>F46*$F$35/365*($F$15+$F$16)+(F47+F48)/2*$F$35/365*($F$15+$F$16)</f>
        <v>19.798673814680065</v>
      </c>
      <c r="G49" s="92"/>
      <c r="H49" s="92">
        <f>F49/($F$15+$F$16)</f>
        <v>0.18163920930899141</v>
      </c>
      <c r="I49" s="92"/>
      <c r="J49" s="92">
        <f>J46*$F$35/365*($F$15+$F$16)+(J47+J48)/2*$F$35/365*($F$15+$F$16)</f>
        <v>17.393123462479323</v>
      </c>
      <c r="K49" s="92"/>
      <c r="L49" s="92">
        <f>J49/($F$15+$F$16)</f>
        <v>0.15956994002274608</v>
      </c>
      <c r="M49" s="92"/>
    </row>
    <row r="50" spans="2:13" ht="21">
      <c r="B50" s="88" t="s">
        <v>35</v>
      </c>
      <c r="C50" s="88"/>
      <c r="D50" s="88"/>
      <c r="E50" s="5" t="s">
        <v>13</v>
      </c>
      <c r="F50" s="89">
        <f>SUM(F46:G49)</f>
        <v>1427.6618866949407</v>
      </c>
      <c r="G50" s="89"/>
      <c r="H50" s="90"/>
      <c r="I50" s="90"/>
      <c r="J50" s="89">
        <f>SUM(J46:K49)</f>
        <v>1248.7737861310382</v>
      </c>
      <c r="K50" s="89"/>
      <c r="L50" s="90"/>
      <c r="M50" s="90"/>
    </row>
    <row r="51" spans="2:13" ht="21">
      <c r="B51" s="88" t="s">
        <v>36</v>
      </c>
      <c r="C51" s="88"/>
      <c r="D51" s="88"/>
      <c r="E51" s="5" t="s">
        <v>13</v>
      </c>
      <c r="F51" s="89">
        <f>F43-F50</f>
        <v>-35.417986446747364</v>
      </c>
      <c r="G51" s="89"/>
      <c r="H51" s="90"/>
      <c r="I51" s="90"/>
      <c r="J51" s="89">
        <f>J43-J50</f>
        <v>9.5761521036654358</v>
      </c>
      <c r="K51" s="89"/>
      <c r="L51" s="90"/>
      <c r="M51" s="90"/>
    </row>
    <row r="52" spans="2:13" ht="21">
      <c r="B52" s="88" t="s">
        <v>37</v>
      </c>
      <c r="C52" s="88"/>
      <c r="D52" s="88"/>
      <c r="E52" s="5" t="s">
        <v>28</v>
      </c>
      <c r="F52" s="89">
        <f>F50/F41*100</f>
        <v>209.95027745513832</v>
      </c>
      <c r="G52" s="89"/>
      <c r="H52" s="90"/>
      <c r="I52" s="90"/>
      <c r="J52" s="89">
        <f>J50/J41*100</f>
        <v>190.94400399557159</v>
      </c>
      <c r="K52" s="89"/>
      <c r="L52" s="90"/>
      <c r="M52" s="90"/>
    </row>
    <row r="53" spans="2:13" ht="21">
      <c r="B53" s="88" t="s">
        <v>39</v>
      </c>
      <c r="C53" s="88"/>
      <c r="D53" s="88"/>
      <c r="E53" s="5" t="s">
        <v>40</v>
      </c>
      <c r="F53" s="89">
        <f>F51*F27</f>
        <v>-17.000633494438734</v>
      </c>
      <c r="G53" s="89"/>
      <c r="H53" s="90"/>
      <c r="I53" s="90"/>
      <c r="J53" s="89">
        <f>J51*H27</f>
        <v>4.5965530097594094</v>
      </c>
      <c r="K53" s="89"/>
      <c r="L53" s="90"/>
      <c r="M53" s="90"/>
    </row>
  </sheetData>
  <mergeCells count="132">
    <mergeCell ref="F21:G21"/>
    <mergeCell ref="H20:I20"/>
    <mergeCell ref="H21:I21"/>
    <mergeCell ref="B53:D53"/>
    <mergeCell ref="F53:G53"/>
    <mergeCell ref="H53:I53"/>
    <mergeCell ref="J53:K53"/>
    <mergeCell ref="L53:M53"/>
    <mergeCell ref="F22:G22"/>
    <mergeCell ref="H22:I22"/>
    <mergeCell ref="B24:D24"/>
    <mergeCell ref="B25:D25"/>
    <mergeCell ref="F24:G24"/>
    <mergeCell ref="H24:I24"/>
    <mergeCell ref="H25:I25"/>
    <mergeCell ref="B26:D26"/>
    <mergeCell ref="B27:D27"/>
    <mergeCell ref="B28:D28"/>
    <mergeCell ref="B30:D30"/>
    <mergeCell ref="B31:D31"/>
    <mergeCell ref="B22:D22"/>
    <mergeCell ref="F33:G33"/>
    <mergeCell ref="H33:I33"/>
    <mergeCell ref="F35:G35"/>
    <mergeCell ref="F19:G19"/>
    <mergeCell ref="H19:I19"/>
    <mergeCell ref="B20:D20"/>
    <mergeCell ref="B21:D21"/>
    <mergeCell ref="B32:D32"/>
    <mergeCell ref="B33:D33"/>
    <mergeCell ref="B35:D35"/>
    <mergeCell ref="B2:J3"/>
    <mergeCell ref="C6:E6"/>
    <mergeCell ref="C7:E7"/>
    <mergeCell ref="F17:H17"/>
    <mergeCell ref="B14:E14"/>
    <mergeCell ref="B17:E17"/>
    <mergeCell ref="F15:H15"/>
    <mergeCell ref="F16:H16"/>
    <mergeCell ref="B15:E15"/>
    <mergeCell ref="B16:E16"/>
    <mergeCell ref="B9:G9"/>
    <mergeCell ref="B11:F12"/>
    <mergeCell ref="B10:G10"/>
    <mergeCell ref="H9:J9"/>
    <mergeCell ref="H10:J10"/>
    <mergeCell ref="G11:I12"/>
    <mergeCell ref="F20:G20"/>
    <mergeCell ref="F39:I39"/>
    <mergeCell ref="J39:M39"/>
    <mergeCell ref="B38:M38"/>
    <mergeCell ref="B39:E39"/>
    <mergeCell ref="H32:I32"/>
    <mergeCell ref="F25:G25"/>
    <mergeCell ref="F26:G26"/>
    <mergeCell ref="F27:G27"/>
    <mergeCell ref="F28:G28"/>
    <mergeCell ref="F30:G30"/>
    <mergeCell ref="F31:G31"/>
    <mergeCell ref="F32:G32"/>
    <mergeCell ref="H26:I26"/>
    <mergeCell ref="H27:I27"/>
    <mergeCell ref="H28:I28"/>
    <mergeCell ref="H30:I30"/>
    <mergeCell ref="H31:I31"/>
    <mergeCell ref="H41:I41"/>
    <mergeCell ref="J41:K41"/>
    <mergeCell ref="L41:M41"/>
    <mergeCell ref="F41:G41"/>
    <mergeCell ref="H40:I40"/>
    <mergeCell ref="J40:K40"/>
    <mergeCell ref="L40:M40"/>
    <mergeCell ref="B41:D41"/>
    <mergeCell ref="F40:G40"/>
    <mergeCell ref="B40:E40"/>
    <mergeCell ref="B43:D43"/>
    <mergeCell ref="F43:G43"/>
    <mergeCell ref="H43:I43"/>
    <mergeCell ref="J43:K43"/>
    <mergeCell ref="L43:M43"/>
    <mergeCell ref="F42:G42"/>
    <mergeCell ref="H42:I42"/>
    <mergeCell ref="J42:K42"/>
    <mergeCell ref="L42:M42"/>
    <mergeCell ref="B42:D42"/>
    <mergeCell ref="F45:G45"/>
    <mergeCell ref="H45:I45"/>
    <mergeCell ref="J45:K45"/>
    <mergeCell ref="L45:M45"/>
    <mergeCell ref="B45:E45"/>
    <mergeCell ref="B44:D44"/>
    <mergeCell ref="F44:G44"/>
    <mergeCell ref="H44:I44"/>
    <mergeCell ref="J44:K44"/>
    <mergeCell ref="L44:M44"/>
    <mergeCell ref="H48:I48"/>
    <mergeCell ref="J48:K48"/>
    <mergeCell ref="L48:M48"/>
    <mergeCell ref="B47:D47"/>
    <mergeCell ref="F47:G47"/>
    <mergeCell ref="H47:I47"/>
    <mergeCell ref="J47:K47"/>
    <mergeCell ref="L47:M47"/>
    <mergeCell ref="B46:D46"/>
    <mergeCell ref="F46:G46"/>
    <mergeCell ref="H46:I46"/>
    <mergeCell ref="J46:K46"/>
    <mergeCell ref="L46:M46"/>
    <mergeCell ref="I6:J6"/>
    <mergeCell ref="I4:J4"/>
    <mergeCell ref="B52:D52"/>
    <mergeCell ref="F52:G52"/>
    <mergeCell ref="H52:I52"/>
    <mergeCell ref="J52:K52"/>
    <mergeCell ref="L52:M52"/>
    <mergeCell ref="B51:D51"/>
    <mergeCell ref="F51:G51"/>
    <mergeCell ref="H51:I51"/>
    <mergeCell ref="J51:K51"/>
    <mergeCell ref="L51:M51"/>
    <mergeCell ref="B50:D50"/>
    <mergeCell ref="F50:G50"/>
    <mergeCell ref="H50:I50"/>
    <mergeCell ref="J50:K50"/>
    <mergeCell ref="L50:M50"/>
    <mergeCell ref="B49:D49"/>
    <mergeCell ref="F49:G49"/>
    <mergeCell ref="H49:I49"/>
    <mergeCell ref="J49:K49"/>
    <mergeCell ref="L49:M49"/>
    <mergeCell ref="B48:D48"/>
    <mergeCell ref="F48:G48"/>
  </mergeCells>
  <dataValidations count="8">
    <dataValidation type="list" allowBlank="1" showInputMessage="1" showErrorMessage="1" sqref="F14" xr:uid="{00000000-0002-0000-0000-000000000000}">
      <formula1>months</formula1>
    </dataValidation>
    <dataValidation allowBlank="1" showInputMessage="1" showErrorMessage="1" prompt="Enter any weight between 300# and 700#." sqref="F20:G20" xr:uid="{00000000-0002-0000-0000-000001000000}"/>
    <dataValidation allowBlank="1" showInputMessage="1" showErrorMessage="1" prompt="Enter any weight between 330# and 700#." sqref="H20:I20" xr:uid="{00000000-0002-0000-0000-000002000000}"/>
    <dataValidation allowBlank="1" showInputMessage="1" showErrorMessage="1" prompt="Press ctrl+t to update default prices using futures prices and basis." sqref="F42:G42 J42:K42" xr:uid="{00000000-0002-0000-0000-000003000000}"/>
    <dataValidation allowBlank="1" showInputMessage="1" showErrorMessage="1" prompt="Press ctrl+t to generate cost of gain with a detailed budget." sqref="F33:I33" xr:uid="{00000000-0002-0000-0000-000004000000}"/>
    <dataValidation allowBlank="1" showInputMessage="1" showErrorMessage="1" prompt="Press ctrl+t to update default price based on current market prices." sqref="F21:I21" xr:uid="{00000000-0002-0000-0000-000005000000}"/>
    <dataValidation allowBlank="1" showInputMessage="1" showErrorMessage="1" prompt="Enter the total of freight, commissions, insurance, yardage, beef check off, order buyer fee and hedging/option costs." sqref="F31:I31" xr:uid="{00000000-0002-0000-0000-000006000000}"/>
    <dataValidation allowBlank="1" showInputMessage="1" showErrorMessage="1" prompt="This version of the calculator has improved sale price forecasting." sqref="I6:J6" xr:uid="{00000000-0002-0000-0000-000007000000}"/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download">
                <anchor moveWithCells="1">
                  <from>
                    <xdr:col>6</xdr:col>
                    <xdr:colOff>7620</xdr:colOff>
                    <xdr:row>10</xdr:row>
                    <xdr:rowOff>30480</xdr:rowOff>
                  </from>
                  <to>
                    <xdr:col>8</xdr:col>
                    <xdr:colOff>464820</xdr:colOff>
                    <xdr:row>11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2:M28"/>
  <sheetViews>
    <sheetView workbookViewId="0">
      <selection activeCell="H13" sqref="H13:I13"/>
    </sheetView>
  </sheetViews>
  <sheetFormatPr defaultRowHeight="14.4"/>
  <cols>
    <col min="7" max="7" width="4.5546875" customWidth="1"/>
    <col min="9" max="9" width="4.5546875" customWidth="1"/>
    <col min="10" max="10" width="6.5546875" customWidth="1"/>
    <col min="11" max="11" width="3.5546875" customWidth="1"/>
    <col min="12" max="12" width="5" customWidth="1"/>
    <col min="13" max="13" width="5.109375" customWidth="1"/>
  </cols>
  <sheetData>
    <row r="2" spans="2:13" ht="15.6">
      <c r="B2" s="192" t="s">
        <v>205</v>
      </c>
      <c r="C2" s="193"/>
      <c r="D2" s="193"/>
      <c r="E2" s="193"/>
      <c r="F2" s="193"/>
      <c r="G2" s="194"/>
      <c r="H2" s="73"/>
      <c r="I2" s="73"/>
      <c r="J2" s="203" t="s">
        <v>6</v>
      </c>
      <c r="K2" s="204"/>
      <c r="L2" s="203" t="s">
        <v>7</v>
      </c>
      <c r="M2" s="204"/>
    </row>
    <row r="3" spans="2:13" ht="15.6">
      <c r="B3" s="207" t="s">
        <v>183</v>
      </c>
      <c r="C3" s="208"/>
      <c r="D3" s="208"/>
      <c r="E3" s="208"/>
      <c r="F3" s="208"/>
      <c r="G3" s="209"/>
      <c r="H3" s="74"/>
      <c r="I3" s="74"/>
      <c r="J3" s="172">
        <v>650</v>
      </c>
      <c r="K3" s="173"/>
      <c r="L3" s="172">
        <v>650</v>
      </c>
      <c r="M3" s="173"/>
    </row>
    <row r="4" spans="2:13" ht="15.6">
      <c r="B4" s="189" t="s">
        <v>160</v>
      </c>
      <c r="C4" s="190"/>
      <c r="D4" s="190"/>
      <c r="E4" s="191"/>
      <c r="F4" s="174" t="str">
        <f>Budget!F15 &amp; " days"</f>
        <v>14 days</v>
      </c>
      <c r="G4" s="175"/>
      <c r="H4" s="168"/>
      <c r="I4" s="169"/>
      <c r="J4" s="174"/>
      <c r="K4" s="175"/>
      <c r="L4" s="174"/>
      <c r="M4" s="175"/>
    </row>
    <row r="5" spans="2:13" ht="15.6">
      <c r="B5" s="168" t="s">
        <v>184</v>
      </c>
      <c r="C5" s="169"/>
      <c r="D5" s="168" t="s">
        <v>185</v>
      </c>
      <c r="E5" s="169"/>
      <c r="F5" s="170">
        <v>80</v>
      </c>
      <c r="G5" s="171"/>
      <c r="H5" s="161" t="s">
        <v>195</v>
      </c>
      <c r="I5" s="162"/>
      <c r="J5" s="176">
        <v>15</v>
      </c>
      <c r="K5" s="177"/>
      <c r="L5" s="176">
        <v>12</v>
      </c>
      <c r="M5" s="177"/>
    </row>
    <row r="6" spans="2:13" ht="15.6">
      <c r="B6" s="168" t="s">
        <v>186</v>
      </c>
      <c r="C6" s="169"/>
      <c r="D6" s="168" t="s">
        <v>185</v>
      </c>
      <c r="E6" s="169"/>
      <c r="F6" s="170">
        <v>300</v>
      </c>
      <c r="G6" s="171"/>
      <c r="H6" s="161" t="s">
        <v>195</v>
      </c>
      <c r="I6" s="162"/>
      <c r="J6" s="176">
        <v>2</v>
      </c>
      <c r="K6" s="177"/>
      <c r="L6" s="176">
        <v>2</v>
      </c>
      <c r="M6" s="177"/>
    </row>
    <row r="7" spans="2:13" ht="15.6">
      <c r="B7" s="168" t="s">
        <v>187</v>
      </c>
      <c r="C7" s="169"/>
      <c r="D7" s="168" t="s">
        <v>185</v>
      </c>
      <c r="E7" s="169"/>
      <c r="F7" s="170">
        <v>1000</v>
      </c>
      <c r="G7" s="171"/>
      <c r="H7" s="161" t="s">
        <v>189</v>
      </c>
      <c r="I7" s="162"/>
      <c r="J7" s="176">
        <v>4</v>
      </c>
      <c r="K7" s="177"/>
      <c r="L7" s="176">
        <v>4</v>
      </c>
      <c r="M7" s="177"/>
    </row>
    <row r="8" spans="2:13" ht="15.6">
      <c r="B8" s="163" t="s">
        <v>190</v>
      </c>
      <c r="C8" s="164"/>
      <c r="D8" s="164"/>
      <c r="E8" s="164"/>
      <c r="F8" s="164"/>
      <c r="G8" s="165"/>
      <c r="H8" s="161" t="s">
        <v>13</v>
      </c>
      <c r="I8" s="162"/>
      <c r="J8" s="166">
        <v>2.5</v>
      </c>
      <c r="K8" s="167"/>
      <c r="L8" s="166">
        <v>2.5</v>
      </c>
      <c r="M8" s="167"/>
    </row>
    <row r="9" spans="2:13" ht="15.6">
      <c r="B9" s="163" t="s">
        <v>191</v>
      </c>
      <c r="C9" s="164"/>
      <c r="D9" s="164"/>
      <c r="E9" s="164"/>
      <c r="F9" s="164"/>
      <c r="G9" s="165"/>
      <c r="H9" s="161" t="s">
        <v>13</v>
      </c>
      <c r="I9" s="162"/>
      <c r="J9" s="166"/>
      <c r="K9" s="167"/>
      <c r="L9" s="166"/>
      <c r="M9" s="167"/>
    </row>
    <row r="10" spans="2:13" ht="15.6">
      <c r="B10" s="186" t="s">
        <v>161</v>
      </c>
      <c r="C10" s="187"/>
      <c r="D10" s="187"/>
      <c r="E10" s="187"/>
      <c r="F10" s="187"/>
      <c r="G10" s="188"/>
      <c r="H10" s="184" t="s">
        <v>13</v>
      </c>
      <c r="I10" s="185"/>
      <c r="J10" s="178">
        <f>(J5*$F$5/2000+J6*$F$6/2000+J7*$F$7/2000/128)*Budget!$F$15+J8+J9</f>
        <v>15.318749999999998</v>
      </c>
      <c r="K10" s="179"/>
      <c r="L10" s="178">
        <f>(L5*$F$5/2000+L6*$F$6/2000+L7*$F$7/2000/128)*Budget!$F$15+L8+L9</f>
        <v>13.63875</v>
      </c>
      <c r="M10" s="179"/>
    </row>
    <row r="11" spans="2:13" ht="15.6">
      <c r="B11" s="189" t="s">
        <v>188</v>
      </c>
      <c r="C11" s="190"/>
      <c r="D11" s="190"/>
      <c r="E11" s="190"/>
      <c r="F11" s="190"/>
      <c r="G11" s="191"/>
      <c r="H11" s="197"/>
      <c r="I11" s="198"/>
      <c r="J11" s="180"/>
      <c r="K11" s="181"/>
      <c r="L11" s="180"/>
      <c r="M11" s="181"/>
    </row>
    <row r="12" spans="2:13" ht="15.6">
      <c r="B12" s="168" t="s">
        <v>178</v>
      </c>
      <c r="C12" s="199"/>
      <c r="D12" s="199"/>
      <c r="E12" s="169"/>
      <c r="F12" s="200" t="s">
        <v>203</v>
      </c>
      <c r="G12" s="201"/>
      <c r="H12" s="195">
        <v>0.65</v>
      </c>
      <c r="I12" s="196"/>
      <c r="J12" s="182">
        <v>154.375</v>
      </c>
      <c r="K12" s="183"/>
      <c r="L12" s="182">
        <v>123.5</v>
      </c>
      <c r="M12" s="183"/>
    </row>
    <row r="13" spans="2:13" ht="15.6">
      <c r="B13" s="168" t="s">
        <v>184</v>
      </c>
      <c r="C13" s="169"/>
      <c r="D13" s="168" t="s">
        <v>185</v>
      </c>
      <c r="E13" s="169"/>
      <c r="F13" s="170">
        <v>80</v>
      </c>
      <c r="G13" s="171"/>
      <c r="H13" s="161" t="s">
        <v>195</v>
      </c>
      <c r="I13" s="162"/>
      <c r="J13" s="176">
        <v>3</v>
      </c>
      <c r="K13" s="177"/>
      <c r="L13" s="176">
        <v>3</v>
      </c>
      <c r="M13" s="177"/>
    </row>
    <row r="14" spans="2:13" ht="15.6">
      <c r="B14" s="168" t="s">
        <v>186</v>
      </c>
      <c r="C14" s="169"/>
      <c r="D14" s="168" t="s">
        <v>185</v>
      </c>
      <c r="E14" s="169"/>
      <c r="F14" s="170">
        <v>400</v>
      </c>
      <c r="G14" s="171"/>
      <c r="H14" s="161" t="s">
        <v>195</v>
      </c>
      <c r="I14" s="162"/>
      <c r="J14" s="176">
        <v>0</v>
      </c>
      <c r="K14" s="177"/>
      <c r="L14" s="176">
        <v>0</v>
      </c>
      <c r="M14" s="177"/>
    </row>
    <row r="15" spans="2:13" ht="15.6">
      <c r="B15" s="168" t="s">
        <v>187</v>
      </c>
      <c r="C15" s="169"/>
      <c r="D15" s="168" t="s">
        <v>185</v>
      </c>
      <c r="E15" s="169"/>
      <c r="F15" s="170">
        <v>401</v>
      </c>
      <c r="G15" s="171"/>
      <c r="H15" s="161" t="s">
        <v>189</v>
      </c>
      <c r="I15" s="162"/>
      <c r="J15" s="176">
        <v>4</v>
      </c>
      <c r="K15" s="177"/>
      <c r="L15" s="176">
        <v>4</v>
      </c>
      <c r="M15" s="177"/>
    </row>
    <row r="16" spans="2:13" ht="15.6">
      <c r="B16" s="163" t="s">
        <v>196</v>
      </c>
      <c r="C16" s="164"/>
      <c r="D16" s="164"/>
      <c r="E16" s="164"/>
      <c r="F16" s="164"/>
      <c r="G16" s="165"/>
      <c r="H16" s="161" t="s">
        <v>13</v>
      </c>
      <c r="I16" s="162"/>
      <c r="J16" s="166">
        <v>1.5</v>
      </c>
      <c r="K16" s="167"/>
      <c r="L16" s="166">
        <v>1.5</v>
      </c>
      <c r="M16" s="167"/>
    </row>
    <row r="17" spans="2:13" ht="15.6">
      <c r="B17" s="75" t="s">
        <v>198</v>
      </c>
      <c r="C17" s="220"/>
      <c r="D17" s="220"/>
      <c r="E17" s="162"/>
      <c r="F17" s="212" t="str">
        <f>Budget!F15+Budget!F16 &amp; " Days"</f>
        <v>109 Days</v>
      </c>
      <c r="G17" s="213"/>
      <c r="H17" s="161" t="s">
        <v>197</v>
      </c>
      <c r="I17" s="162"/>
      <c r="J17" s="166">
        <v>0.1</v>
      </c>
      <c r="K17" s="167"/>
      <c r="L17" s="166">
        <v>0.1</v>
      </c>
      <c r="M17" s="167"/>
    </row>
    <row r="18" spans="2:13" ht="15.6">
      <c r="B18" s="163" t="s">
        <v>199</v>
      </c>
      <c r="C18" s="164"/>
      <c r="D18" s="164"/>
      <c r="E18" s="164"/>
      <c r="F18" s="164"/>
      <c r="G18" s="165"/>
      <c r="H18" s="161" t="s">
        <v>13</v>
      </c>
      <c r="I18" s="162"/>
      <c r="J18" s="166">
        <v>1</v>
      </c>
      <c r="K18" s="167"/>
      <c r="L18" s="166">
        <v>1</v>
      </c>
      <c r="M18" s="167"/>
    </row>
    <row r="19" spans="2:13" ht="15.6">
      <c r="B19" s="163" t="s">
        <v>200</v>
      </c>
      <c r="C19" s="164"/>
      <c r="D19" s="164"/>
      <c r="E19" s="164"/>
      <c r="F19" s="164"/>
      <c r="G19" s="165"/>
      <c r="H19" s="161" t="s">
        <v>13</v>
      </c>
      <c r="I19" s="162"/>
      <c r="J19" s="166">
        <v>1</v>
      </c>
      <c r="K19" s="167"/>
      <c r="L19" s="166">
        <v>1</v>
      </c>
      <c r="M19" s="167"/>
    </row>
    <row r="20" spans="2:13" ht="15.6">
      <c r="B20" s="163" t="s">
        <v>201</v>
      </c>
      <c r="C20" s="164"/>
      <c r="D20" s="164"/>
      <c r="E20" s="164"/>
      <c r="F20" s="164"/>
      <c r="G20" s="165"/>
      <c r="H20" s="161" t="s">
        <v>13</v>
      </c>
      <c r="I20" s="162"/>
      <c r="J20" s="166">
        <v>0</v>
      </c>
      <c r="K20" s="167"/>
      <c r="L20" s="166">
        <v>0</v>
      </c>
      <c r="M20" s="167"/>
    </row>
    <row r="21" spans="2:13" ht="15.6">
      <c r="B21" s="186" t="s">
        <v>179</v>
      </c>
      <c r="C21" s="187"/>
      <c r="D21" s="187"/>
      <c r="E21" s="187"/>
      <c r="F21" s="187"/>
      <c r="G21" s="188"/>
      <c r="H21" s="184" t="s">
        <v>13</v>
      </c>
      <c r="I21" s="185"/>
      <c r="J21" s="178">
        <f>IF(J$3&lt;&gt;"",SUM(J16:K16)+SUM(J18:K20)+(SUMPRODUCT(J13:K14,$F$13:$G$14)/2000+$F$15/2000/128*J15)*Budget!$F$16+cost_of_gain!J17*Budget!$F$16)+J12</f>
        <v>179.370234375</v>
      </c>
      <c r="K21" s="179"/>
      <c r="L21" s="178">
        <f>IF(L$3&lt;&gt;"",SUM(L16:M16)+SUM(L18:M20)+(SUMPRODUCT(L13:M14,$F$13:$G$14)/2000+$F$15/2000/128*L15)*Budget!$F$16+cost_of_gain!L17*Budget!$F$16)+L12</f>
        <v>148.495234375</v>
      </c>
      <c r="M21" s="179"/>
    </row>
    <row r="22" spans="2:13" ht="15.6">
      <c r="B22" s="217" t="s">
        <v>194</v>
      </c>
      <c r="C22" s="218"/>
      <c r="D22" s="218"/>
      <c r="E22" s="218"/>
      <c r="F22" s="218"/>
      <c r="G22" s="219"/>
      <c r="H22" s="184" t="s">
        <v>13</v>
      </c>
      <c r="I22" s="185"/>
      <c r="J22" s="178">
        <f>J21+J10</f>
        <v>194.68898437499999</v>
      </c>
      <c r="K22" s="179"/>
      <c r="L22" s="178">
        <f>L21+L10</f>
        <v>162.13398437499998</v>
      </c>
      <c r="M22" s="179"/>
    </row>
    <row r="23" spans="2:13" ht="15.6">
      <c r="B23" s="214" t="s">
        <v>193</v>
      </c>
      <c r="C23" s="215"/>
      <c r="D23" s="215"/>
      <c r="E23" s="215"/>
      <c r="F23" s="215"/>
      <c r="G23" s="216"/>
      <c r="H23" s="174" t="s">
        <v>202</v>
      </c>
      <c r="I23" s="175"/>
      <c r="J23" s="205">
        <v>255</v>
      </c>
      <c r="K23" s="206"/>
      <c r="L23" s="205">
        <v>204</v>
      </c>
      <c r="M23" s="206"/>
    </row>
    <row r="24" spans="2:13" ht="15.6">
      <c r="B24" s="189" t="s">
        <v>22</v>
      </c>
      <c r="C24" s="190"/>
      <c r="D24" s="190"/>
      <c r="E24" s="190"/>
      <c r="F24" s="190"/>
      <c r="G24" s="191"/>
      <c r="H24" s="174" t="s">
        <v>192</v>
      </c>
      <c r="I24" s="175"/>
      <c r="J24" s="210">
        <f>J22/J23</f>
        <v>0.76348621323529409</v>
      </c>
      <c r="K24" s="211"/>
      <c r="L24" s="210">
        <f>L22/L23</f>
        <v>0.79477443321078423</v>
      </c>
      <c r="M24" s="211"/>
    </row>
    <row r="27" spans="2:13">
      <c r="D27" s="202"/>
      <c r="E27" s="202"/>
      <c r="F27" s="202"/>
    </row>
    <row r="28" spans="2:13">
      <c r="D28" s="202"/>
      <c r="E28" s="202"/>
      <c r="F28" s="202"/>
    </row>
  </sheetData>
  <mergeCells count="106">
    <mergeCell ref="L23:M23"/>
    <mergeCell ref="L24:M24"/>
    <mergeCell ref="F17:G17"/>
    <mergeCell ref="L19:M19"/>
    <mergeCell ref="L21:M21"/>
    <mergeCell ref="L20:M20"/>
    <mergeCell ref="L18:M18"/>
    <mergeCell ref="B23:G23"/>
    <mergeCell ref="B24:G24"/>
    <mergeCell ref="B19:G19"/>
    <mergeCell ref="B20:G20"/>
    <mergeCell ref="J24:K24"/>
    <mergeCell ref="J21:K21"/>
    <mergeCell ref="B21:G21"/>
    <mergeCell ref="H24:I24"/>
    <mergeCell ref="H23:I23"/>
    <mergeCell ref="B22:G22"/>
    <mergeCell ref="H20:I20"/>
    <mergeCell ref="C17:E17"/>
    <mergeCell ref="J22:K22"/>
    <mergeCell ref="L22:M22"/>
    <mergeCell ref="H21:I21"/>
    <mergeCell ref="H22:I22"/>
    <mergeCell ref="H17:I17"/>
    <mergeCell ref="D27:F28"/>
    <mergeCell ref="L2:M2"/>
    <mergeCell ref="L3:M3"/>
    <mergeCell ref="L4:M4"/>
    <mergeCell ref="L5:M5"/>
    <mergeCell ref="L6:M6"/>
    <mergeCell ref="J20:K20"/>
    <mergeCell ref="J23:K23"/>
    <mergeCell ref="J14:K14"/>
    <mergeCell ref="J16:K16"/>
    <mergeCell ref="J7:K7"/>
    <mergeCell ref="J17:K17"/>
    <mergeCell ref="J18:K18"/>
    <mergeCell ref="J19:K19"/>
    <mergeCell ref="J8:K8"/>
    <mergeCell ref="J9:K9"/>
    <mergeCell ref="J10:K10"/>
    <mergeCell ref="J11:K11"/>
    <mergeCell ref="J12:K12"/>
    <mergeCell ref="J13:K13"/>
    <mergeCell ref="L13:M13"/>
    <mergeCell ref="L14:M14"/>
    <mergeCell ref="J2:K2"/>
    <mergeCell ref="B3:G3"/>
    <mergeCell ref="B2:G2"/>
    <mergeCell ref="B13:C13"/>
    <mergeCell ref="D14:E14"/>
    <mergeCell ref="F14:G14"/>
    <mergeCell ref="H14:I14"/>
    <mergeCell ref="D13:E13"/>
    <mergeCell ref="F13:G13"/>
    <mergeCell ref="H13:I13"/>
    <mergeCell ref="B4:E4"/>
    <mergeCell ref="F4:G4"/>
    <mergeCell ref="B5:C5"/>
    <mergeCell ref="D5:E5"/>
    <mergeCell ref="F5:G5"/>
    <mergeCell ref="H4:I4"/>
    <mergeCell ref="B14:C14"/>
    <mergeCell ref="H12:I12"/>
    <mergeCell ref="D6:E6"/>
    <mergeCell ref="F6:G6"/>
    <mergeCell ref="H6:I6"/>
    <mergeCell ref="H11:I11"/>
    <mergeCell ref="B12:E12"/>
    <mergeCell ref="F12:G12"/>
    <mergeCell ref="B7:C7"/>
    <mergeCell ref="D7:E7"/>
    <mergeCell ref="J3:K3"/>
    <mergeCell ref="J4:K4"/>
    <mergeCell ref="J5:K5"/>
    <mergeCell ref="J6:K6"/>
    <mergeCell ref="B6:C6"/>
    <mergeCell ref="H5:I5"/>
    <mergeCell ref="J15:K15"/>
    <mergeCell ref="L15:M15"/>
    <mergeCell ref="H16:I16"/>
    <mergeCell ref="L7:M7"/>
    <mergeCell ref="L8:M8"/>
    <mergeCell ref="L9:M9"/>
    <mergeCell ref="L10:M10"/>
    <mergeCell ref="L11:M11"/>
    <mergeCell ref="L12:M12"/>
    <mergeCell ref="F7:G7"/>
    <mergeCell ref="H7:I7"/>
    <mergeCell ref="H8:I8"/>
    <mergeCell ref="H9:I9"/>
    <mergeCell ref="H10:I10"/>
    <mergeCell ref="B8:G8"/>
    <mergeCell ref="B9:G9"/>
    <mergeCell ref="B10:G10"/>
    <mergeCell ref="B11:G11"/>
    <mergeCell ref="H18:I18"/>
    <mergeCell ref="H19:I19"/>
    <mergeCell ref="B16:G16"/>
    <mergeCell ref="B18:G18"/>
    <mergeCell ref="L17:M17"/>
    <mergeCell ref="L16:M16"/>
    <mergeCell ref="B15:C15"/>
    <mergeCell ref="D15:E15"/>
    <mergeCell ref="F15:G15"/>
    <mergeCell ref="H15:I15"/>
  </mergeCells>
  <dataValidations xWindow="883" yWindow="300" count="4">
    <dataValidation allowBlank="1" showInputMessage="1" showErrorMessage="1" prompt="Enter price per ton as fed." sqref="F13:F15 F5:F7" xr:uid="{00000000-0002-0000-0100-000000000000}"/>
    <dataValidation allowBlank="1" showInputMessage="1" showErrorMessage="1" prompt="Enter pounds fed per day per head." sqref="J5:M6 J13:M14" xr:uid="{00000000-0002-0000-0100-000001000000}"/>
    <dataValidation allowBlank="1" showInputMessage="1" showErrorMessage="1" prompt="Enter ounces fed per head per day." sqref="J7:M7 J15:M15" xr:uid="{00000000-0002-0000-0100-000002000000}"/>
    <dataValidation allowBlank="1" showInputMessage="1" showErrorMessage="1" prompt="Enter rent per pound of gain." sqref="H12" xr:uid="{00000000-0002-0000-0100-000003000000}"/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Return_to_input">
                <anchor moveWithCells="1" sizeWithCells="1">
                  <from>
                    <xdr:col>8</xdr:col>
                    <xdr:colOff>30480</xdr:colOff>
                    <xdr:row>25</xdr:row>
                    <xdr:rowOff>83820</xdr:rowOff>
                  </from>
                  <to>
                    <xdr:col>12</xdr:col>
                    <xdr:colOff>160020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0]!cancel">
                <anchor moveWithCells="1" sizeWithCells="1">
                  <from>
                    <xdr:col>8</xdr:col>
                    <xdr:colOff>7620</xdr:colOff>
                    <xdr:row>29</xdr:row>
                    <xdr:rowOff>76200</xdr:rowOff>
                  </from>
                  <to>
                    <xdr:col>12</xdr:col>
                    <xdr:colOff>160020</xdr:colOff>
                    <xdr:row>32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IV424"/>
  <sheetViews>
    <sheetView workbookViewId="0"/>
  </sheetViews>
  <sheetFormatPr defaultColWidth="9.5546875" defaultRowHeight="15"/>
  <cols>
    <col min="1" max="1" width="26.5546875" style="19" bestFit="1" customWidth="1"/>
    <col min="2" max="3" width="12.5546875" style="23" customWidth="1"/>
    <col min="4" max="22" width="12.5546875" style="14" customWidth="1"/>
    <col min="23" max="23" width="2.5546875" style="14" customWidth="1"/>
    <col min="24" max="37" width="12.5546875" style="14" customWidth="1"/>
    <col min="38" max="39" width="12.5546875" style="15" customWidth="1"/>
    <col min="40" max="40" width="12.109375" style="15" customWidth="1"/>
    <col min="41" max="41" width="13.88671875" style="15" customWidth="1"/>
    <col min="42" max="42" width="10.44140625" style="15" customWidth="1"/>
    <col min="43" max="43" width="10.5546875" style="15" customWidth="1"/>
    <col min="44" max="256" width="9.5546875" style="15"/>
    <col min="257" max="257" width="26.5546875" style="15" bestFit="1" customWidth="1"/>
    <col min="258" max="278" width="12.5546875" style="15" customWidth="1"/>
    <col min="279" max="279" width="2.5546875" style="15" customWidth="1"/>
    <col min="280" max="295" width="12.5546875" style="15" customWidth="1"/>
    <col min="296" max="296" width="12.109375" style="15" customWidth="1"/>
    <col min="297" max="297" width="13.88671875" style="15" customWidth="1"/>
    <col min="298" max="512" width="9.5546875" style="15"/>
    <col min="513" max="513" width="26.5546875" style="15" bestFit="1" customWidth="1"/>
    <col min="514" max="534" width="12.5546875" style="15" customWidth="1"/>
    <col min="535" max="535" width="2.5546875" style="15" customWidth="1"/>
    <col min="536" max="551" width="12.5546875" style="15" customWidth="1"/>
    <col min="552" max="552" width="12.109375" style="15" customWidth="1"/>
    <col min="553" max="553" width="13.88671875" style="15" customWidth="1"/>
    <col min="554" max="768" width="9.5546875" style="15"/>
    <col min="769" max="769" width="26.5546875" style="15" bestFit="1" customWidth="1"/>
    <col min="770" max="790" width="12.5546875" style="15" customWidth="1"/>
    <col min="791" max="791" width="2.5546875" style="15" customWidth="1"/>
    <col min="792" max="807" width="12.5546875" style="15" customWidth="1"/>
    <col min="808" max="808" width="12.109375" style="15" customWidth="1"/>
    <col min="809" max="809" width="13.88671875" style="15" customWidth="1"/>
    <col min="810" max="1024" width="9.5546875" style="15"/>
    <col min="1025" max="1025" width="26.5546875" style="15" bestFit="1" customWidth="1"/>
    <col min="1026" max="1046" width="12.5546875" style="15" customWidth="1"/>
    <col min="1047" max="1047" width="2.5546875" style="15" customWidth="1"/>
    <col min="1048" max="1063" width="12.5546875" style="15" customWidth="1"/>
    <col min="1064" max="1064" width="12.109375" style="15" customWidth="1"/>
    <col min="1065" max="1065" width="13.88671875" style="15" customWidth="1"/>
    <col min="1066" max="1280" width="9.5546875" style="15"/>
    <col min="1281" max="1281" width="26.5546875" style="15" bestFit="1" customWidth="1"/>
    <col min="1282" max="1302" width="12.5546875" style="15" customWidth="1"/>
    <col min="1303" max="1303" width="2.5546875" style="15" customWidth="1"/>
    <col min="1304" max="1319" width="12.5546875" style="15" customWidth="1"/>
    <col min="1320" max="1320" width="12.109375" style="15" customWidth="1"/>
    <col min="1321" max="1321" width="13.88671875" style="15" customWidth="1"/>
    <col min="1322" max="1536" width="9.5546875" style="15"/>
    <col min="1537" max="1537" width="26.5546875" style="15" bestFit="1" customWidth="1"/>
    <col min="1538" max="1558" width="12.5546875" style="15" customWidth="1"/>
    <col min="1559" max="1559" width="2.5546875" style="15" customWidth="1"/>
    <col min="1560" max="1575" width="12.5546875" style="15" customWidth="1"/>
    <col min="1576" max="1576" width="12.109375" style="15" customWidth="1"/>
    <col min="1577" max="1577" width="13.88671875" style="15" customWidth="1"/>
    <col min="1578" max="1792" width="9.5546875" style="15"/>
    <col min="1793" max="1793" width="26.5546875" style="15" bestFit="1" customWidth="1"/>
    <col min="1794" max="1814" width="12.5546875" style="15" customWidth="1"/>
    <col min="1815" max="1815" width="2.5546875" style="15" customWidth="1"/>
    <col min="1816" max="1831" width="12.5546875" style="15" customWidth="1"/>
    <col min="1832" max="1832" width="12.109375" style="15" customWidth="1"/>
    <col min="1833" max="1833" width="13.88671875" style="15" customWidth="1"/>
    <col min="1834" max="2048" width="9.5546875" style="15"/>
    <col min="2049" max="2049" width="26.5546875" style="15" bestFit="1" customWidth="1"/>
    <col min="2050" max="2070" width="12.5546875" style="15" customWidth="1"/>
    <col min="2071" max="2071" width="2.5546875" style="15" customWidth="1"/>
    <col min="2072" max="2087" width="12.5546875" style="15" customWidth="1"/>
    <col min="2088" max="2088" width="12.109375" style="15" customWidth="1"/>
    <col min="2089" max="2089" width="13.88671875" style="15" customWidth="1"/>
    <col min="2090" max="2304" width="9.5546875" style="15"/>
    <col min="2305" max="2305" width="26.5546875" style="15" bestFit="1" customWidth="1"/>
    <col min="2306" max="2326" width="12.5546875" style="15" customWidth="1"/>
    <col min="2327" max="2327" width="2.5546875" style="15" customWidth="1"/>
    <col min="2328" max="2343" width="12.5546875" style="15" customWidth="1"/>
    <col min="2344" max="2344" width="12.109375" style="15" customWidth="1"/>
    <col min="2345" max="2345" width="13.88671875" style="15" customWidth="1"/>
    <col min="2346" max="2560" width="9.5546875" style="15"/>
    <col min="2561" max="2561" width="26.5546875" style="15" bestFit="1" customWidth="1"/>
    <col min="2562" max="2582" width="12.5546875" style="15" customWidth="1"/>
    <col min="2583" max="2583" width="2.5546875" style="15" customWidth="1"/>
    <col min="2584" max="2599" width="12.5546875" style="15" customWidth="1"/>
    <col min="2600" max="2600" width="12.109375" style="15" customWidth="1"/>
    <col min="2601" max="2601" width="13.88671875" style="15" customWidth="1"/>
    <col min="2602" max="2816" width="9.5546875" style="15"/>
    <col min="2817" max="2817" width="26.5546875" style="15" bestFit="1" customWidth="1"/>
    <col min="2818" max="2838" width="12.5546875" style="15" customWidth="1"/>
    <col min="2839" max="2839" width="2.5546875" style="15" customWidth="1"/>
    <col min="2840" max="2855" width="12.5546875" style="15" customWidth="1"/>
    <col min="2856" max="2856" width="12.109375" style="15" customWidth="1"/>
    <col min="2857" max="2857" width="13.88671875" style="15" customWidth="1"/>
    <col min="2858" max="3072" width="9.5546875" style="15"/>
    <col min="3073" max="3073" width="26.5546875" style="15" bestFit="1" customWidth="1"/>
    <col min="3074" max="3094" width="12.5546875" style="15" customWidth="1"/>
    <col min="3095" max="3095" width="2.5546875" style="15" customWidth="1"/>
    <col min="3096" max="3111" width="12.5546875" style="15" customWidth="1"/>
    <col min="3112" max="3112" width="12.109375" style="15" customWidth="1"/>
    <col min="3113" max="3113" width="13.88671875" style="15" customWidth="1"/>
    <col min="3114" max="3328" width="9.5546875" style="15"/>
    <col min="3329" max="3329" width="26.5546875" style="15" bestFit="1" customWidth="1"/>
    <col min="3330" max="3350" width="12.5546875" style="15" customWidth="1"/>
    <col min="3351" max="3351" width="2.5546875" style="15" customWidth="1"/>
    <col min="3352" max="3367" width="12.5546875" style="15" customWidth="1"/>
    <col min="3368" max="3368" width="12.109375" style="15" customWidth="1"/>
    <col min="3369" max="3369" width="13.88671875" style="15" customWidth="1"/>
    <col min="3370" max="3584" width="9.5546875" style="15"/>
    <col min="3585" max="3585" width="26.5546875" style="15" bestFit="1" customWidth="1"/>
    <col min="3586" max="3606" width="12.5546875" style="15" customWidth="1"/>
    <col min="3607" max="3607" width="2.5546875" style="15" customWidth="1"/>
    <col min="3608" max="3623" width="12.5546875" style="15" customWidth="1"/>
    <col min="3624" max="3624" width="12.109375" style="15" customWidth="1"/>
    <col min="3625" max="3625" width="13.88671875" style="15" customWidth="1"/>
    <col min="3626" max="3840" width="9.5546875" style="15"/>
    <col min="3841" max="3841" width="26.5546875" style="15" bestFit="1" customWidth="1"/>
    <col min="3842" max="3862" width="12.5546875" style="15" customWidth="1"/>
    <col min="3863" max="3863" width="2.5546875" style="15" customWidth="1"/>
    <col min="3864" max="3879" width="12.5546875" style="15" customWidth="1"/>
    <col min="3880" max="3880" width="12.109375" style="15" customWidth="1"/>
    <col min="3881" max="3881" width="13.88671875" style="15" customWidth="1"/>
    <col min="3882" max="4096" width="9.5546875" style="15"/>
    <col min="4097" max="4097" width="26.5546875" style="15" bestFit="1" customWidth="1"/>
    <col min="4098" max="4118" width="12.5546875" style="15" customWidth="1"/>
    <col min="4119" max="4119" width="2.5546875" style="15" customWidth="1"/>
    <col min="4120" max="4135" width="12.5546875" style="15" customWidth="1"/>
    <col min="4136" max="4136" width="12.109375" style="15" customWidth="1"/>
    <col min="4137" max="4137" width="13.88671875" style="15" customWidth="1"/>
    <col min="4138" max="4352" width="9.5546875" style="15"/>
    <col min="4353" max="4353" width="26.5546875" style="15" bestFit="1" customWidth="1"/>
    <col min="4354" max="4374" width="12.5546875" style="15" customWidth="1"/>
    <col min="4375" max="4375" width="2.5546875" style="15" customWidth="1"/>
    <col min="4376" max="4391" width="12.5546875" style="15" customWidth="1"/>
    <col min="4392" max="4392" width="12.109375" style="15" customWidth="1"/>
    <col min="4393" max="4393" width="13.88671875" style="15" customWidth="1"/>
    <col min="4394" max="4608" width="9.5546875" style="15"/>
    <col min="4609" max="4609" width="26.5546875" style="15" bestFit="1" customWidth="1"/>
    <col min="4610" max="4630" width="12.5546875" style="15" customWidth="1"/>
    <col min="4631" max="4631" width="2.5546875" style="15" customWidth="1"/>
    <col min="4632" max="4647" width="12.5546875" style="15" customWidth="1"/>
    <col min="4648" max="4648" width="12.109375" style="15" customWidth="1"/>
    <col min="4649" max="4649" width="13.88671875" style="15" customWidth="1"/>
    <col min="4650" max="4864" width="9.5546875" style="15"/>
    <col min="4865" max="4865" width="26.5546875" style="15" bestFit="1" customWidth="1"/>
    <col min="4866" max="4886" width="12.5546875" style="15" customWidth="1"/>
    <col min="4887" max="4887" width="2.5546875" style="15" customWidth="1"/>
    <col min="4888" max="4903" width="12.5546875" style="15" customWidth="1"/>
    <col min="4904" max="4904" width="12.109375" style="15" customWidth="1"/>
    <col min="4905" max="4905" width="13.88671875" style="15" customWidth="1"/>
    <col min="4906" max="5120" width="9.5546875" style="15"/>
    <col min="5121" max="5121" width="26.5546875" style="15" bestFit="1" customWidth="1"/>
    <col min="5122" max="5142" width="12.5546875" style="15" customWidth="1"/>
    <col min="5143" max="5143" width="2.5546875" style="15" customWidth="1"/>
    <col min="5144" max="5159" width="12.5546875" style="15" customWidth="1"/>
    <col min="5160" max="5160" width="12.109375" style="15" customWidth="1"/>
    <col min="5161" max="5161" width="13.88671875" style="15" customWidth="1"/>
    <col min="5162" max="5376" width="9.5546875" style="15"/>
    <col min="5377" max="5377" width="26.5546875" style="15" bestFit="1" customWidth="1"/>
    <col min="5378" max="5398" width="12.5546875" style="15" customWidth="1"/>
    <col min="5399" max="5399" width="2.5546875" style="15" customWidth="1"/>
    <col min="5400" max="5415" width="12.5546875" style="15" customWidth="1"/>
    <col min="5416" max="5416" width="12.109375" style="15" customWidth="1"/>
    <col min="5417" max="5417" width="13.88671875" style="15" customWidth="1"/>
    <col min="5418" max="5632" width="9.5546875" style="15"/>
    <col min="5633" max="5633" width="26.5546875" style="15" bestFit="1" customWidth="1"/>
    <col min="5634" max="5654" width="12.5546875" style="15" customWidth="1"/>
    <col min="5655" max="5655" width="2.5546875" style="15" customWidth="1"/>
    <col min="5656" max="5671" width="12.5546875" style="15" customWidth="1"/>
    <col min="5672" max="5672" width="12.109375" style="15" customWidth="1"/>
    <col min="5673" max="5673" width="13.88671875" style="15" customWidth="1"/>
    <col min="5674" max="5888" width="9.5546875" style="15"/>
    <col min="5889" max="5889" width="26.5546875" style="15" bestFit="1" customWidth="1"/>
    <col min="5890" max="5910" width="12.5546875" style="15" customWidth="1"/>
    <col min="5911" max="5911" width="2.5546875" style="15" customWidth="1"/>
    <col min="5912" max="5927" width="12.5546875" style="15" customWidth="1"/>
    <col min="5928" max="5928" width="12.109375" style="15" customWidth="1"/>
    <col min="5929" max="5929" width="13.88671875" style="15" customWidth="1"/>
    <col min="5930" max="6144" width="9.5546875" style="15"/>
    <col min="6145" max="6145" width="26.5546875" style="15" bestFit="1" customWidth="1"/>
    <col min="6146" max="6166" width="12.5546875" style="15" customWidth="1"/>
    <col min="6167" max="6167" width="2.5546875" style="15" customWidth="1"/>
    <col min="6168" max="6183" width="12.5546875" style="15" customWidth="1"/>
    <col min="6184" max="6184" width="12.109375" style="15" customWidth="1"/>
    <col min="6185" max="6185" width="13.88671875" style="15" customWidth="1"/>
    <col min="6186" max="6400" width="9.5546875" style="15"/>
    <col min="6401" max="6401" width="26.5546875" style="15" bestFit="1" customWidth="1"/>
    <col min="6402" max="6422" width="12.5546875" style="15" customWidth="1"/>
    <col min="6423" max="6423" width="2.5546875" style="15" customWidth="1"/>
    <col min="6424" max="6439" width="12.5546875" style="15" customWidth="1"/>
    <col min="6440" max="6440" width="12.109375" style="15" customWidth="1"/>
    <col min="6441" max="6441" width="13.88671875" style="15" customWidth="1"/>
    <col min="6442" max="6656" width="9.5546875" style="15"/>
    <col min="6657" max="6657" width="26.5546875" style="15" bestFit="1" customWidth="1"/>
    <col min="6658" max="6678" width="12.5546875" style="15" customWidth="1"/>
    <col min="6679" max="6679" width="2.5546875" style="15" customWidth="1"/>
    <col min="6680" max="6695" width="12.5546875" style="15" customWidth="1"/>
    <col min="6696" max="6696" width="12.109375" style="15" customWidth="1"/>
    <col min="6697" max="6697" width="13.88671875" style="15" customWidth="1"/>
    <col min="6698" max="6912" width="9.5546875" style="15"/>
    <col min="6913" max="6913" width="26.5546875" style="15" bestFit="1" customWidth="1"/>
    <col min="6914" max="6934" width="12.5546875" style="15" customWidth="1"/>
    <col min="6935" max="6935" width="2.5546875" style="15" customWidth="1"/>
    <col min="6936" max="6951" width="12.5546875" style="15" customWidth="1"/>
    <col min="6952" max="6952" width="12.109375" style="15" customWidth="1"/>
    <col min="6953" max="6953" width="13.88671875" style="15" customWidth="1"/>
    <col min="6954" max="7168" width="9.5546875" style="15"/>
    <col min="7169" max="7169" width="26.5546875" style="15" bestFit="1" customWidth="1"/>
    <col min="7170" max="7190" width="12.5546875" style="15" customWidth="1"/>
    <col min="7191" max="7191" width="2.5546875" style="15" customWidth="1"/>
    <col min="7192" max="7207" width="12.5546875" style="15" customWidth="1"/>
    <col min="7208" max="7208" width="12.109375" style="15" customWidth="1"/>
    <col min="7209" max="7209" width="13.88671875" style="15" customWidth="1"/>
    <col min="7210" max="7424" width="9.5546875" style="15"/>
    <col min="7425" max="7425" width="26.5546875" style="15" bestFit="1" customWidth="1"/>
    <col min="7426" max="7446" width="12.5546875" style="15" customWidth="1"/>
    <col min="7447" max="7447" width="2.5546875" style="15" customWidth="1"/>
    <col min="7448" max="7463" width="12.5546875" style="15" customWidth="1"/>
    <col min="7464" max="7464" width="12.109375" style="15" customWidth="1"/>
    <col min="7465" max="7465" width="13.88671875" style="15" customWidth="1"/>
    <col min="7466" max="7680" width="9.5546875" style="15"/>
    <col min="7681" max="7681" width="26.5546875" style="15" bestFit="1" customWidth="1"/>
    <col min="7682" max="7702" width="12.5546875" style="15" customWidth="1"/>
    <col min="7703" max="7703" width="2.5546875" style="15" customWidth="1"/>
    <col min="7704" max="7719" width="12.5546875" style="15" customWidth="1"/>
    <col min="7720" max="7720" width="12.109375" style="15" customWidth="1"/>
    <col min="7721" max="7721" width="13.88671875" style="15" customWidth="1"/>
    <col min="7722" max="7936" width="9.5546875" style="15"/>
    <col min="7937" max="7937" width="26.5546875" style="15" bestFit="1" customWidth="1"/>
    <col min="7938" max="7958" width="12.5546875" style="15" customWidth="1"/>
    <col min="7959" max="7959" width="2.5546875" style="15" customWidth="1"/>
    <col min="7960" max="7975" width="12.5546875" style="15" customWidth="1"/>
    <col min="7976" max="7976" width="12.109375" style="15" customWidth="1"/>
    <col min="7977" max="7977" width="13.88671875" style="15" customWidth="1"/>
    <col min="7978" max="8192" width="9.5546875" style="15"/>
    <col min="8193" max="8193" width="26.5546875" style="15" bestFit="1" customWidth="1"/>
    <col min="8194" max="8214" width="12.5546875" style="15" customWidth="1"/>
    <col min="8215" max="8215" width="2.5546875" style="15" customWidth="1"/>
    <col min="8216" max="8231" width="12.5546875" style="15" customWidth="1"/>
    <col min="8232" max="8232" width="12.109375" style="15" customWidth="1"/>
    <col min="8233" max="8233" width="13.88671875" style="15" customWidth="1"/>
    <col min="8234" max="8448" width="9.5546875" style="15"/>
    <col min="8449" max="8449" width="26.5546875" style="15" bestFit="1" customWidth="1"/>
    <col min="8450" max="8470" width="12.5546875" style="15" customWidth="1"/>
    <col min="8471" max="8471" width="2.5546875" style="15" customWidth="1"/>
    <col min="8472" max="8487" width="12.5546875" style="15" customWidth="1"/>
    <col min="8488" max="8488" width="12.109375" style="15" customWidth="1"/>
    <col min="8489" max="8489" width="13.88671875" style="15" customWidth="1"/>
    <col min="8490" max="8704" width="9.5546875" style="15"/>
    <col min="8705" max="8705" width="26.5546875" style="15" bestFit="1" customWidth="1"/>
    <col min="8706" max="8726" width="12.5546875" style="15" customWidth="1"/>
    <col min="8727" max="8727" width="2.5546875" style="15" customWidth="1"/>
    <col min="8728" max="8743" width="12.5546875" style="15" customWidth="1"/>
    <col min="8744" max="8744" width="12.109375" style="15" customWidth="1"/>
    <col min="8745" max="8745" width="13.88671875" style="15" customWidth="1"/>
    <col min="8746" max="8960" width="9.5546875" style="15"/>
    <col min="8961" max="8961" width="26.5546875" style="15" bestFit="1" customWidth="1"/>
    <col min="8962" max="8982" width="12.5546875" style="15" customWidth="1"/>
    <col min="8983" max="8983" width="2.5546875" style="15" customWidth="1"/>
    <col min="8984" max="8999" width="12.5546875" style="15" customWidth="1"/>
    <col min="9000" max="9000" width="12.109375" style="15" customWidth="1"/>
    <col min="9001" max="9001" width="13.88671875" style="15" customWidth="1"/>
    <col min="9002" max="9216" width="9.5546875" style="15"/>
    <col min="9217" max="9217" width="26.5546875" style="15" bestFit="1" customWidth="1"/>
    <col min="9218" max="9238" width="12.5546875" style="15" customWidth="1"/>
    <col min="9239" max="9239" width="2.5546875" style="15" customWidth="1"/>
    <col min="9240" max="9255" width="12.5546875" style="15" customWidth="1"/>
    <col min="9256" max="9256" width="12.109375" style="15" customWidth="1"/>
    <col min="9257" max="9257" width="13.88671875" style="15" customWidth="1"/>
    <col min="9258" max="9472" width="9.5546875" style="15"/>
    <col min="9473" max="9473" width="26.5546875" style="15" bestFit="1" customWidth="1"/>
    <col min="9474" max="9494" width="12.5546875" style="15" customWidth="1"/>
    <col min="9495" max="9495" width="2.5546875" style="15" customWidth="1"/>
    <col min="9496" max="9511" width="12.5546875" style="15" customWidth="1"/>
    <col min="9512" max="9512" width="12.109375" style="15" customWidth="1"/>
    <col min="9513" max="9513" width="13.88671875" style="15" customWidth="1"/>
    <col min="9514" max="9728" width="9.5546875" style="15"/>
    <col min="9729" max="9729" width="26.5546875" style="15" bestFit="1" customWidth="1"/>
    <col min="9730" max="9750" width="12.5546875" style="15" customWidth="1"/>
    <col min="9751" max="9751" width="2.5546875" style="15" customWidth="1"/>
    <col min="9752" max="9767" width="12.5546875" style="15" customWidth="1"/>
    <col min="9768" max="9768" width="12.109375" style="15" customWidth="1"/>
    <col min="9769" max="9769" width="13.88671875" style="15" customWidth="1"/>
    <col min="9770" max="9984" width="9.5546875" style="15"/>
    <col min="9985" max="9985" width="26.5546875" style="15" bestFit="1" customWidth="1"/>
    <col min="9986" max="10006" width="12.5546875" style="15" customWidth="1"/>
    <col min="10007" max="10007" width="2.5546875" style="15" customWidth="1"/>
    <col min="10008" max="10023" width="12.5546875" style="15" customWidth="1"/>
    <col min="10024" max="10024" width="12.109375" style="15" customWidth="1"/>
    <col min="10025" max="10025" width="13.88671875" style="15" customWidth="1"/>
    <col min="10026" max="10240" width="9.5546875" style="15"/>
    <col min="10241" max="10241" width="26.5546875" style="15" bestFit="1" customWidth="1"/>
    <col min="10242" max="10262" width="12.5546875" style="15" customWidth="1"/>
    <col min="10263" max="10263" width="2.5546875" style="15" customWidth="1"/>
    <col min="10264" max="10279" width="12.5546875" style="15" customWidth="1"/>
    <col min="10280" max="10280" width="12.109375" style="15" customWidth="1"/>
    <col min="10281" max="10281" width="13.88671875" style="15" customWidth="1"/>
    <col min="10282" max="10496" width="9.5546875" style="15"/>
    <col min="10497" max="10497" width="26.5546875" style="15" bestFit="1" customWidth="1"/>
    <col min="10498" max="10518" width="12.5546875" style="15" customWidth="1"/>
    <col min="10519" max="10519" width="2.5546875" style="15" customWidth="1"/>
    <col min="10520" max="10535" width="12.5546875" style="15" customWidth="1"/>
    <col min="10536" max="10536" width="12.109375" style="15" customWidth="1"/>
    <col min="10537" max="10537" width="13.88671875" style="15" customWidth="1"/>
    <col min="10538" max="10752" width="9.5546875" style="15"/>
    <col min="10753" max="10753" width="26.5546875" style="15" bestFit="1" customWidth="1"/>
    <col min="10754" max="10774" width="12.5546875" style="15" customWidth="1"/>
    <col min="10775" max="10775" width="2.5546875" style="15" customWidth="1"/>
    <col min="10776" max="10791" width="12.5546875" style="15" customWidth="1"/>
    <col min="10792" max="10792" width="12.109375" style="15" customWidth="1"/>
    <col min="10793" max="10793" width="13.88671875" style="15" customWidth="1"/>
    <col min="10794" max="11008" width="9.5546875" style="15"/>
    <col min="11009" max="11009" width="26.5546875" style="15" bestFit="1" customWidth="1"/>
    <col min="11010" max="11030" width="12.5546875" style="15" customWidth="1"/>
    <col min="11031" max="11031" width="2.5546875" style="15" customWidth="1"/>
    <col min="11032" max="11047" width="12.5546875" style="15" customWidth="1"/>
    <col min="11048" max="11048" width="12.109375" style="15" customWidth="1"/>
    <col min="11049" max="11049" width="13.88671875" style="15" customWidth="1"/>
    <col min="11050" max="11264" width="9.5546875" style="15"/>
    <col min="11265" max="11265" width="26.5546875" style="15" bestFit="1" customWidth="1"/>
    <col min="11266" max="11286" width="12.5546875" style="15" customWidth="1"/>
    <col min="11287" max="11287" width="2.5546875" style="15" customWidth="1"/>
    <col min="11288" max="11303" width="12.5546875" style="15" customWidth="1"/>
    <col min="11304" max="11304" width="12.109375" style="15" customWidth="1"/>
    <col min="11305" max="11305" width="13.88671875" style="15" customWidth="1"/>
    <col min="11306" max="11520" width="9.5546875" style="15"/>
    <col min="11521" max="11521" width="26.5546875" style="15" bestFit="1" customWidth="1"/>
    <col min="11522" max="11542" width="12.5546875" style="15" customWidth="1"/>
    <col min="11543" max="11543" width="2.5546875" style="15" customWidth="1"/>
    <col min="11544" max="11559" width="12.5546875" style="15" customWidth="1"/>
    <col min="11560" max="11560" width="12.109375" style="15" customWidth="1"/>
    <col min="11561" max="11561" width="13.88671875" style="15" customWidth="1"/>
    <col min="11562" max="11776" width="9.5546875" style="15"/>
    <col min="11777" max="11777" width="26.5546875" style="15" bestFit="1" customWidth="1"/>
    <col min="11778" max="11798" width="12.5546875" style="15" customWidth="1"/>
    <col min="11799" max="11799" width="2.5546875" style="15" customWidth="1"/>
    <col min="11800" max="11815" width="12.5546875" style="15" customWidth="1"/>
    <col min="11816" max="11816" width="12.109375" style="15" customWidth="1"/>
    <col min="11817" max="11817" width="13.88671875" style="15" customWidth="1"/>
    <col min="11818" max="12032" width="9.5546875" style="15"/>
    <col min="12033" max="12033" width="26.5546875" style="15" bestFit="1" customWidth="1"/>
    <col min="12034" max="12054" width="12.5546875" style="15" customWidth="1"/>
    <col min="12055" max="12055" width="2.5546875" style="15" customWidth="1"/>
    <col min="12056" max="12071" width="12.5546875" style="15" customWidth="1"/>
    <col min="12072" max="12072" width="12.109375" style="15" customWidth="1"/>
    <col min="12073" max="12073" width="13.88671875" style="15" customWidth="1"/>
    <col min="12074" max="12288" width="9.5546875" style="15"/>
    <col min="12289" max="12289" width="26.5546875" style="15" bestFit="1" customWidth="1"/>
    <col min="12290" max="12310" width="12.5546875" style="15" customWidth="1"/>
    <col min="12311" max="12311" width="2.5546875" style="15" customWidth="1"/>
    <col min="12312" max="12327" width="12.5546875" style="15" customWidth="1"/>
    <col min="12328" max="12328" width="12.109375" style="15" customWidth="1"/>
    <col min="12329" max="12329" width="13.88671875" style="15" customWidth="1"/>
    <col min="12330" max="12544" width="9.5546875" style="15"/>
    <col min="12545" max="12545" width="26.5546875" style="15" bestFit="1" customWidth="1"/>
    <col min="12546" max="12566" width="12.5546875" style="15" customWidth="1"/>
    <col min="12567" max="12567" width="2.5546875" style="15" customWidth="1"/>
    <col min="12568" max="12583" width="12.5546875" style="15" customWidth="1"/>
    <col min="12584" max="12584" width="12.109375" style="15" customWidth="1"/>
    <col min="12585" max="12585" width="13.88671875" style="15" customWidth="1"/>
    <col min="12586" max="12800" width="9.5546875" style="15"/>
    <col min="12801" max="12801" width="26.5546875" style="15" bestFit="1" customWidth="1"/>
    <col min="12802" max="12822" width="12.5546875" style="15" customWidth="1"/>
    <col min="12823" max="12823" width="2.5546875" style="15" customWidth="1"/>
    <col min="12824" max="12839" width="12.5546875" style="15" customWidth="1"/>
    <col min="12840" max="12840" width="12.109375" style="15" customWidth="1"/>
    <col min="12841" max="12841" width="13.88671875" style="15" customWidth="1"/>
    <col min="12842" max="13056" width="9.5546875" style="15"/>
    <col min="13057" max="13057" width="26.5546875" style="15" bestFit="1" customWidth="1"/>
    <col min="13058" max="13078" width="12.5546875" style="15" customWidth="1"/>
    <col min="13079" max="13079" width="2.5546875" style="15" customWidth="1"/>
    <col min="13080" max="13095" width="12.5546875" style="15" customWidth="1"/>
    <col min="13096" max="13096" width="12.109375" style="15" customWidth="1"/>
    <col min="13097" max="13097" width="13.88671875" style="15" customWidth="1"/>
    <col min="13098" max="13312" width="9.5546875" style="15"/>
    <col min="13313" max="13313" width="26.5546875" style="15" bestFit="1" customWidth="1"/>
    <col min="13314" max="13334" width="12.5546875" style="15" customWidth="1"/>
    <col min="13335" max="13335" width="2.5546875" style="15" customWidth="1"/>
    <col min="13336" max="13351" width="12.5546875" style="15" customWidth="1"/>
    <col min="13352" max="13352" width="12.109375" style="15" customWidth="1"/>
    <col min="13353" max="13353" width="13.88671875" style="15" customWidth="1"/>
    <col min="13354" max="13568" width="9.5546875" style="15"/>
    <col min="13569" max="13569" width="26.5546875" style="15" bestFit="1" customWidth="1"/>
    <col min="13570" max="13590" width="12.5546875" style="15" customWidth="1"/>
    <col min="13591" max="13591" width="2.5546875" style="15" customWidth="1"/>
    <col min="13592" max="13607" width="12.5546875" style="15" customWidth="1"/>
    <col min="13608" max="13608" width="12.109375" style="15" customWidth="1"/>
    <col min="13609" max="13609" width="13.88671875" style="15" customWidth="1"/>
    <col min="13610" max="13824" width="9.5546875" style="15"/>
    <col min="13825" max="13825" width="26.5546875" style="15" bestFit="1" customWidth="1"/>
    <col min="13826" max="13846" width="12.5546875" style="15" customWidth="1"/>
    <col min="13847" max="13847" width="2.5546875" style="15" customWidth="1"/>
    <col min="13848" max="13863" width="12.5546875" style="15" customWidth="1"/>
    <col min="13864" max="13864" width="12.109375" style="15" customWidth="1"/>
    <col min="13865" max="13865" width="13.88671875" style="15" customWidth="1"/>
    <col min="13866" max="14080" width="9.5546875" style="15"/>
    <col min="14081" max="14081" width="26.5546875" style="15" bestFit="1" customWidth="1"/>
    <col min="14082" max="14102" width="12.5546875" style="15" customWidth="1"/>
    <col min="14103" max="14103" width="2.5546875" style="15" customWidth="1"/>
    <col min="14104" max="14119" width="12.5546875" style="15" customWidth="1"/>
    <col min="14120" max="14120" width="12.109375" style="15" customWidth="1"/>
    <col min="14121" max="14121" width="13.88671875" style="15" customWidth="1"/>
    <col min="14122" max="14336" width="9.5546875" style="15"/>
    <col min="14337" max="14337" width="26.5546875" style="15" bestFit="1" customWidth="1"/>
    <col min="14338" max="14358" width="12.5546875" style="15" customWidth="1"/>
    <col min="14359" max="14359" width="2.5546875" style="15" customWidth="1"/>
    <col min="14360" max="14375" width="12.5546875" style="15" customWidth="1"/>
    <col min="14376" max="14376" width="12.109375" style="15" customWidth="1"/>
    <col min="14377" max="14377" width="13.88671875" style="15" customWidth="1"/>
    <col min="14378" max="14592" width="9.5546875" style="15"/>
    <col min="14593" max="14593" width="26.5546875" style="15" bestFit="1" customWidth="1"/>
    <col min="14594" max="14614" width="12.5546875" style="15" customWidth="1"/>
    <col min="14615" max="14615" width="2.5546875" style="15" customWidth="1"/>
    <col min="14616" max="14631" width="12.5546875" style="15" customWidth="1"/>
    <col min="14632" max="14632" width="12.109375" style="15" customWidth="1"/>
    <col min="14633" max="14633" width="13.88671875" style="15" customWidth="1"/>
    <col min="14634" max="14848" width="9.5546875" style="15"/>
    <col min="14849" max="14849" width="26.5546875" style="15" bestFit="1" customWidth="1"/>
    <col min="14850" max="14870" width="12.5546875" style="15" customWidth="1"/>
    <col min="14871" max="14871" width="2.5546875" style="15" customWidth="1"/>
    <col min="14872" max="14887" width="12.5546875" style="15" customWidth="1"/>
    <col min="14888" max="14888" width="12.109375" style="15" customWidth="1"/>
    <col min="14889" max="14889" width="13.88671875" style="15" customWidth="1"/>
    <col min="14890" max="15104" width="9.5546875" style="15"/>
    <col min="15105" max="15105" width="26.5546875" style="15" bestFit="1" customWidth="1"/>
    <col min="15106" max="15126" width="12.5546875" style="15" customWidth="1"/>
    <col min="15127" max="15127" width="2.5546875" style="15" customWidth="1"/>
    <col min="15128" max="15143" width="12.5546875" style="15" customWidth="1"/>
    <col min="15144" max="15144" width="12.109375" style="15" customWidth="1"/>
    <col min="15145" max="15145" width="13.88671875" style="15" customWidth="1"/>
    <col min="15146" max="15360" width="9.5546875" style="15"/>
    <col min="15361" max="15361" width="26.5546875" style="15" bestFit="1" customWidth="1"/>
    <col min="15362" max="15382" width="12.5546875" style="15" customWidth="1"/>
    <col min="15383" max="15383" width="2.5546875" style="15" customWidth="1"/>
    <col min="15384" max="15399" width="12.5546875" style="15" customWidth="1"/>
    <col min="15400" max="15400" width="12.109375" style="15" customWidth="1"/>
    <col min="15401" max="15401" width="13.88671875" style="15" customWidth="1"/>
    <col min="15402" max="15616" width="9.5546875" style="15"/>
    <col min="15617" max="15617" width="26.5546875" style="15" bestFit="1" customWidth="1"/>
    <col min="15618" max="15638" width="12.5546875" style="15" customWidth="1"/>
    <col min="15639" max="15639" width="2.5546875" style="15" customWidth="1"/>
    <col min="15640" max="15655" width="12.5546875" style="15" customWidth="1"/>
    <col min="15656" max="15656" width="12.109375" style="15" customWidth="1"/>
    <col min="15657" max="15657" width="13.88671875" style="15" customWidth="1"/>
    <col min="15658" max="15872" width="9.5546875" style="15"/>
    <col min="15873" max="15873" width="26.5546875" style="15" bestFit="1" customWidth="1"/>
    <col min="15874" max="15894" width="12.5546875" style="15" customWidth="1"/>
    <col min="15895" max="15895" width="2.5546875" style="15" customWidth="1"/>
    <col min="15896" max="15911" width="12.5546875" style="15" customWidth="1"/>
    <col min="15912" max="15912" width="12.109375" style="15" customWidth="1"/>
    <col min="15913" max="15913" width="13.88671875" style="15" customWidth="1"/>
    <col min="15914" max="16128" width="9.5546875" style="15"/>
    <col min="16129" max="16129" width="26.5546875" style="15" bestFit="1" customWidth="1"/>
    <col min="16130" max="16150" width="12.5546875" style="15" customWidth="1"/>
    <col min="16151" max="16151" width="2.5546875" style="15" customWidth="1"/>
    <col min="16152" max="16167" width="12.5546875" style="15" customWidth="1"/>
    <col min="16168" max="16168" width="12.109375" style="15" customWidth="1"/>
    <col min="16169" max="16169" width="13.88671875" style="15" customWidth="1"/>
    <col min="16170" max="16384" width="9.5546875" style="15"/>
  </cols>
  <sheetData>
    <row r="1" spans="1:44" ht="21">
      <c r="A1" s="79">
        <v>42237</v>
      </c>
      <c r="B1" s="24" t="s">
        <v>132</v>
      </c>
      <c r="C1" s="24"/>
      <c r="G1" s="25" t="s">
        <v>43</v>
      </c>
      <c r="AB1" s="26" t="s">
        <v>44</v>
      </c>
      <c r="AL1" s="27"/>
      <c r="AM1" s="27"/>
      <c r="AN1" s="28"/>
      <c r="AO1" s="28"/>
      <c r="AP1" s="28"/>
      <c r="AQ1" s="28"/>
    </row>
    <row r="2" spans="1:44" ht="15.6">
      <c r="A2" s="29" t="s">
        <v>45</v>
      </c>
      <c r="B2" s="24"/>
      <c r="C2" s="24"/>
      <c r="AL2" s="27"/>
      <c r="AM2" s="27"/>
      <c r="AN2" s="28"/>
      <c r="AO2" s="28"/>
      <c r="AP2" s="28"/>
      <c r="AQ2" s="28"/>
    </row>
    <row r="3" spans="1:44" ht="15.6">
      <c r="A3" s="29" t="s">
        <v>46</v>
      </c>
      <c r="B3" s="24"/>
      <c r="C3" s="24"/>
      <c r="D3" s="26" t="s">
        <v>47</v>
      </c>
      <c r="AL3" s="27"/>
      <c r="AM3" s="27"/>
      <c r="AN3" s="28"/>
      <c r="AO3" s="28"/>
      <c r="AP3" s="28"/>
      <c r="AQ3" s="28"/>
    </row>
    <row r="4" spans="1:44">
      <c r="C4" s="13"/>
      <c r="AL4" s="27"/>
      <c r="AM4" s="27"/>
      <c r="AN4" s="28"/>
      <c r="AO4" s="28"/>
      <c r="AP4" s="28"/>
      <c r="AQ4" s="28"/>
    </row>
    <row r="5" spans="1:44">
      <c r="A5" s="16"/>
      <c r="B5" s="17"/>
      <c r="C5" s="20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27"/>
      <c r="AM5" s="27"/>
      <c r="AN5" s="28"/>
      <c r="AO5" s="28"/>
      <c r="AP5" s="28"/>
      <c r="AQ5" s="28"/>
    </row>
    <row r="6" spans="1:44" ht="15.6">
      <c r="A6" s="16"/>
      <c r="B6" s="17"/>
      <c r="C6" s="20"/>
      <c r="E6" s="18"/>
      <c r="F6" s="18"/>
      <c r="G6" s="26" t="s">
        <v>48</v>
      </c>
      <c r="H6" s="18"/>
      <c r="I6" s="18"/>
      <c r="J6" s="18"/>
      <c r="K6" s="18"/>
      <c r="L6" s="18"/>
      <c r="M6" s="18"/>
      <c r="N6" s="18"/>
      <c r="O6" s="18"/>
      <c r="AC6" s="30" t="s">
        <v>48</v>
      </c>
      <c r="AD6" s="18"/>
      <c r="AE6" s="18"/>
      <c r="AG6" s="18"/>
      <c r="AH6" s="18"/>
      <c r="AJ6" s="31"/>
      <c r="AK6" s="31"/>
      <c r="AL6" s="27"/>
      <c r="AM6" s="27"/>
      <c r="AN6" s="28"/>
      <c r="AO6" s="28"/>
      <c r="AP6" s="28"/>
      <c r="AQ6" s="28"/>
    </row>
    <row r="7" spans="1:44">
      <c r="A7" s="32" t="s">
        <v>49</v>
      </c>
      <c r="B7" s="33"/>
      <c r="C7" s="33"/>
      <c r="D7" s="32" t="s">
        <v>49</v>
      </c>
      <c r="E7" s="32" t="s">
        <v>49</v>
      </c>
      <c r="F7" s="32" t="s">
        <v>49</v>
      </c>
      <c r="G7" s="32" t="s">
        <v>49</v>
      </c>
      <c r="H7" s="32" t="s">
        <v>49</v>
      </c>
      <c r="I7" s="32" t="s">
        <v>49</v>
      </c>
      <c r="J7" s="32" t="s">
        <v>49</v>
      </c>
      <c r="K7" s="32" t="s">
        <v>49</v>
      </c>
      <c r="L7" s="32" t="s">
        <v>49</v>
      </c>
      <c r="M7" s="32" t="s">
        <v>49</v>
      </c>
      <c r="N7" s="32" t="s">
        <v>49</v>
      </c>
      <c r="O7" s="32" t="s">
        <v>49</v>
      </c>
      <c r="P7" s="32" t="s">
        <v>49</v>
      </c>
      <c r="Q7" s="32" t="s">
        <v>49</v>
      </c>
      <c r="R7" s="32"/>
      <c r="S7" s="32"/>
      <c r="T7" s="32"/>
      <c r="U7" s="32"/>
      <c r="V7" s="32"/>
      <c r="W7" s="32" t="s">
        <v>49</v>
      </c>
      <c r="X7" s="32"/>
      <c r="Y7" s="32"/>
      <c r="Z7" s="32" t="s">
        <v>49</v>
      </c>
      <c r="AA7" s="32" t="s">
        <v>49</v>
      </c>
      <c r="AB7" s="32" t="s">
        <v>49</v>
      </c>
      <c r="AC7" s="32" t="s">
        <v>49</v>
      </c>
      <c r="AD7" s="32" t="s">
        <v>49</v>
      </c>
      <c r="AE7" s="32" t="s">
        <v>49</v>
      </c>
      <c r="AF7" s="32" t="s">
        <v>49</v>
      </c>
      <c r="AG7" s="32" t="s">
        <v>49</v>
      </c>
      <c r="AH7" s="32" t="s">
        <v>49</v>
      </c>
      <c r="AI7" s="32" t="s">
        <v>49</v>
      </c>
      <c r="AJ7" s="32" t="s">
        <v>49</v>
      </c>
      <c r="AK7" s="32" t="s">
        <v>49</v>
      </c>
      <c r="AL7" s="27"/>
      <c r="AM7" s="27"/>
      <c r="AN7" s="28"/>
      <c r="AO7" s="28"/>
      <c r="AP7" s="28"/>
      <c r="AQ7" s="28"/>
    </row>
    <row r="8" spans="1:44">
      <c r="B8" s="34"/>
      <c r="C8" s="34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27"/>
      <c r="AM8" s="27"/>
      <c r="AN8" s="28"/>
      <c r="AO8" s="28"/>
      <c r="AP8" s="28"/>
      <c r="AQ8" s="28"/>
    </row>
    <row r="9" spans="1:44">
      <c r="B9" s="34"/>
      <c r="C9" s="34"/>
      <c r="W9" s="31" t="s">
        <v>50</v>
      </c>
      <c r="X9" s="31"/>
      <c r="Y9" s="31"/>
      <c r="AL9" s="27"/>
      <c r="AM9" s="27"/>
      <c r="AN9" s="28"/>
      <c r="AO9" s="28"/>
      <c r="AP9" s="28"/>
      <c r="AQ9" s="28"/>
    </row>
    <row r="10" spans="1:44">
      <c r="B10" s="34" t="s">
        <v>51</v>
      </c>
      <c r="C10" s="34" t="s">
        <v>52</v>
      </c>
      <c r="D10" s="31" t="s">
        <v>53</v>
      </c>
      <c r="E10" s="31" t="s">
        <v>54</v>
      </c>
      <c r="F10" s="31" t="s">
        <v>55</v>
      </c>
      <c r="G10" s="31" t="s">
        <v>56</v>
      </c>
      <c r="H10" s="31" t="s">
        <v>57</v>
      </c>
      <c r="I10" s="31" t="s">
        <v>58</v>
      </c>
      <c r="J10" s="31" t="s">
        <v>59</v>
      </c>
      <c r="K10" s="31" t="s">
        <v>60</v>
      </c>
      <c r="L10" s="31" t="s">
        <v>61</v>
      </c>
      <c r="M10" s="31" t="s">
        <v>62</v>
      </c>
      <c r="N10" s="31" t="s">
        <v>63</v>
      </c>
      <c r="O10" s="31" t="s">
        <v>64</v>
      </c>
      <c r="P10" s="31" t="s">
        <v>65</v>
      </c>
      <c r="Q10" s="31" t="s">
        <v>66</v>
      </c>
      <c r="R10" s="31" t="s">
        <v>67</v>
      </c>
      <c r="S10" s="31" t="s">
        <v>68</v>
      </c>
      <c r="T10" s="31" t="s">
        <v>69</v>
      </c>
      <c r="U10" s="31" t="s">
        <v>70</v>
      </c>
      <c r="V10" s="31" t="s">
        <v>71</v>
      </c>
      <c r="W10" s="31" t="s">
        <v>50</v>
      </c>
      <c r="X10" s="31" t="s">
        <v>51</v>
      </c>
      <c r="Y10" s="31" t="s">
        <v>52</v>
      </c>
      <c r="Z10" s="31" t="s">
        <v>53</v>
      </c>
      <c r="AA10" s="31" t="s">
        <v>54</v>
      </c>
      <c r="AB10" s="31" t="s">
        <v>55</v>
      </c>
      <c r="AC10" s="31" t="s">
        <v>56</v>
      </c>
      <c r="AD10" s="31" t="s">
        <v>57</v>
      </c>
      <c r="AE10" s="31" t="s">
        <v>58</v>
      </c>
      <c r="AF10" s="31" t="s">
        <v>59</v>
      </c>
      <c r="AG10" s="31" t="s">
        <v>60</v>
      </c>
      <c r="AH10" s="31" t="s">
        <v>61</v>
      </c>
      <c r="AI10" s="31" t="s">
        <v>62</v>
      </c>
      <c r="AJ10" s="31" t="s">
        <v>63</v>
      </c>
      <c r="AK10" s="31" t="s">
        <v>64</v>
      </c>
      <c r="AL10" s="31" t="s">
        <v>65</v>
      </c>
      <c r="AM10" s="31" t="s">
        <v>66</v>
      </c>
      <c r="AN10" s="31" t="s">
        <v>67</v>
      </c>
      <c r="AO10" s="31" t="s">
        <v>68</v>
      </c>
      <c r="AP10" s="31" t="s">
        <v>69</v>
      </c>
      <c r="AQ10" s="31" t="s">
        <v>70</v>
      </c>
    </row>
    <row r="11" spans="1:44">
      <c r="B11" s="58">
        <v>225</v>
      </c>
      <c r="C11" s="58">
        <v>275</v>
      </c>
      <c r="D11" s="58">
        <v>325</v>
      </c>
      <c r="E11" s="58">
        <v>375</v>
      </c>
      <c r="F11" s="58">
        <v>425</v>
      </c>
      <c r="G11" s="58">
        <v>475</v>
      </c>
      <c r="H11" s="58">
        <v>525</v>
      </c>
      <c r="I11" s="58">
        <v>575</v>
      </c>
      <c r="J11" s="58">
        <v>625</v>
      </c>
      <c r="K11" s="58">
        <v>675</v>
      </c>
      <c r="L11" s="58">
        <v>725</v>
      </c>
      <c r="M11" s="58">
        <v>775</v>
      </c>
      <c r="N11" s="58">
        <v>825</v>
      </c>
      <c r="O11" s="58">
        <v>875</v>
      </c>
      <c r="P11" s="58">
        <v>925</v>
      </c>
      <c r="Q11" s="58">
        <v>975</v>
      </c>
      <c r="R11" s="58">
        <v>1025</v>
      </c>
      <c r="S11" s="58">
        <v>1075</v>
      </c>
      <c r="T11" s="58">
        <v>1125</v>
      </c>
      <c r="U11" s="58">
        <v>1175</v>
      </c>
      <c r="V11" s="58">
        <v>1225</v>
      </c>
      <c r="W11" s="58"/>
      <c r="X11" s="58">
        <v>225</v>
      </c>
      <c r="Y11" s="58">
        <v>275</v>
      </c>
      <c r="Z11" s="58">
        <v>325</v>
      </c>
      <c r="AA11" s="58">
        <v>375</v>
      </c>
      <c r="AB11" s="58">
        <v>425</v>
      </c>
      <c r="AC11" s="58">
        <v>475</v>
      </c>
      <c r="AD11" s="58">
        <v>525</v>
      </c>
      <c r="AE11" s="58">
        <v>575</v>
      </c>
      <c r="AF11" s="58">
        <v>625</v>
      </c>
      <c r="AG11" s="58">
        <v>675</v>
      </c>
      <c r="AH11" s="58">
        <v>725</v>
      </c>
      <c r="AI11" s="58">
        <v>775</v>
      </c>
      <c r="AJ11" s="58">
        <v>825</v>
      </c>
      <c r="AK11" s="58">
        <v>875</v>
      </c>
      <c r="AL11" s="58">
        <v>925</v>
      </c>
      <c r="AM11" s="58">
        <v>975</v>
      </c>
      <c r="AN11" s="58">
        <v>1025</v>
      </c>
      <c r="AO11" s="58">
        <v>1075</v>
      </c>
      <c r="AP11" s="58">
        <v>1125</v>
      </c>
      <c r="AQ11" s="58">
        <v>1175</v>
      </c>
      <c r="AR11" s="59">
        <v>1225</v>
      </c>
    </row>
    <row r="12" spans="1:44">
      <c r="A12" s="32" t="s">
        <v>49</v>
      </c>
      <c r="B12" s="33"/>
      <c r="C12" s="33"/>
      <c r="D12" s="32" t="s">
        <v>49</v>
      </c>
      <c r="E12" s="32" t="s">
        <v>49</v>
      </c>
      <c r="F12" s="32" t="s">
        <v>49</v>
      </c>
      <c r="G12" s="32" t="s">
        <v>49</v>
      </c>
      <c r="H12" s="32" t="s">
        <v>49</v>
      </c>
      <c r="I12" s="32" t="s">
        <v>49</v>
      </c>
      <c r="J12" s="32" t="s">
        <v>49</v>
      </c>
      <c r="K12" s="32" t="s">
        <v>49</v>
      </c>
      <c r="L12" s="32" t="s">
        <v>49</v>
      </c>
      <c r="M12" s="32" t="s">
        <v>49</v>
      </c>
      <c r="N12" s="32" t="s">
        <v>49</v>
      </c>
      <c r="O12" s="32" t="s">
        <v>49</v>
      </c>
      <c r="P12" s="32" t="s">
        <v>49</v>
      </c>
      <c r="Q12" s="32" t="s">
        <v>49</v>
      </c>
      <c r="R12" s="32"/>
      <c r="S12" s="32"/>
      <c r="T12" s="32"/>
      <c r="U12" s="32"/>
      <c r="V12" s="32"/>
      <c r="W12" s="32" t="s">
        <v>49</v>
      </c>
      <c r="X12" s="32"/>
      <c r="Y12" s="32"/>
      <c r="Z12" s="32" t="s">
        <v>49</v>
      </c>
      <c r="AA12" s="32" t="s">
        <v>49</v>
      </c>
      <c r="AB12" s="32" t="s">
        <v>49</v>
      </c>
      <c r="AC12" s="32" t="s">
        <v>49</v>
      </c>
      <c r="AD12" s="32" t="s">
        <v>49</v>
      </c>
      <c r="AE12" s="32" t="s">
        <v>49</v>
      </c>
      <c r="AF12" s="32" t="s">
        <v>49</v>
      </c>
      <c r="AG12" s="32" t="s">
        <v>49</v>
      </c>
      <c r="AH12" s="32" t="s">
        <v>49</v>
      </c>
      <c r="AI12" s="32" t="s">
        <v>49</v>
      </c>
      <c r="AJ12" s="32" t="s">
        <v>49</v>
      </c>
      <c r="AK12" s="32" t="s">
        <v>49</v>
      </c>
      <c r="AL12" s="27"/>
      <c r="AM12" s="27"/>
      <c r="AN12" s="28"/>
      <c r="AO12" s="28"/>
      <c r="AP12" s="28"/>
      <c r="AQ12" s="31"/>
    </row>
    <row r="13" spans="1:44">
      <c r="A13" s="79">
        <v>42237</v>
      </c>
      <c r="B13" s="84" t="s">
        <v>216</v>
      </c>
      <c r="C13" s="84" t="s">
        <v>216</v>
      </c>
      <c r="D13" s="80">
        <v>360.74</v>
      </c>
      <c r="E13" s="80">
        <v>329.9</v>
      </c>
      <c r="F13" s="80">
        <v>295.14999999999998</v>
      </c>
      <c r="G13" s="80">
        <v>283.81400000000002</v>
      </c>
      <c r="H13" s="80">
        <v>259.26</v>
      </c>
      <c r="I13" s="80">
        <v>244.08</v>
      </c>
      <c r="J13" s="80">
        <v>241.29</v>
      </c>
      <c r="K13" s="80">
        <v>230.53</v>
      </c>
      <c r="L13" s="80">
        <v>225.24</v>
      </c>
      <c r="M13" s="80">
        <v>218.32</v>
      </c>
      <c r="N13" s="80">
        <v>213.66</v>
      </c>
      <c r="O13" s="80">
        <v>208.45</v>
      </c>
      <c r="P13" s="80">
        <v>203.82</v>
      </c>
      <c r="Q13" s="80">
        <v>197.97</v>
      </c>
      <c r="R13" s="80">
        <v>193.75</v>
      </c>
      <c r="S13" s="80">
        <v>185.58</v>
      </c>
      <c r="T13" s="80" t="s">
        <v>216</v>
      </c>
      <c r="U13" s="80" t="s">
        <v>216</v>
      </c>
      <c r="V13" s="80" t="s">
        <v>216</v>
      </c>
      <c r="W13" s="83"/>
      <c r="X13" s="80" t="s">
        <v>216</v>
      </c>
      <c r="Y13" s="80" t="s">
        <v>216</v>
      </c>
      <c r="Z13" s="80">
        <v>288.63</v>
      </c>
      <c r="AA13" s="80">
        <v>258.91000000000003</v>
      </c>
      <c r="AB13" s="80">
        <v>251.11</v>
      </c>
      <c r="AC13" s="80">
        <v>241.09</v>
      </c>
      <c r="AD13" s="80">
        <v>233</v>
      </c>
      <c r="AE13" s="80">
        <v>227.21</v>
      </c>
      <c r="AF13" s="80">
        <v>224.79</v>
      </c>
      <c r="AG13" s="80">
        <v>212.06</v>
      </c>
      <c r="AH13" s="80">
        <v>207.75</v>
      </c>
      <c r="AI13" s="80">
        <v>198.04</v>
      </c>
      <c r="AJ13" s="80">
        <v>201.21</v>
      </c>
      <c r="AK13" s="80">
        <v>192</v>
      </c>
      <c r="AL13" s="81">
        <v>194.5</v>
      </c>
      <c r="AM13" s="81" t="s">
        <v>216</v>
      </c>
      <c r="AN13" s="81" t="s">
        <v>216</v>
      </c>
      <c r="AO13" s="81" t="s">
        <v>216</v>
      </c>
      <c r="AP13" s="81" t="s">
        <v>216</v>
      </c>
      <c r="AQ13" s="81" t="s">
        <v>216</v>
      </c>
      <c r="AR13" s="76"/>
    </row>
    <row r="14" spans="1:44">
      <c r="AQ14" s="28"/>
    </row>
    <row r="15" spans="1:44">
      <c r="AQ15" s="21"/>
    </row>
    <row r="290" spans="1:47" s="22" customFormat="1">
      <c r="A290" s="19"/>
      <c r="B290" s="23"/>
      <c r="C290" s="23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</row>
    <row r="291" spans="1:47" s="22" customFormat="1">
      <c r="A291" s="19"/>
      <c r="B291" s="23"/>
      <c r="C291" s="23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</row>
    <row r="292" spans="1:47" s="22" customFormat="1">
      <c r="A292" s="19"/>
      <c r="B292" s="23"/>
      <c r="C292" s="23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</row>
    <row r="293" spans="1:47" s="22" customFormat="1">
      <c r="A293" s="19"/>
      <c r="B293" s="23"/>
      <c r="C293" s="23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</row>
    <row r="294" spans="1:47" s="22" customFormat="1">
      <c r="A294" s="19"/>
      <c r="B294" s="23"/>
      <c r="C294" s="23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</row>
    <row r="295" spans="1:47" s="22" customFormat="1">
      <c r="A295" s="19"/>
      <c r="B295" s="23"/>
      <c r="C295" s="23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</row>
    <row r="407" spans="48:256"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X407" s="13"/>
      <c r="CY407" s="13"/>
      <c r="CZ407" s="13"/>
      <c r="DA407" s="13"/>
      <c r="DB407" s="13"/>
      <c r="DC407" s="13"/>
      <c r="DD407" s="13"/>
      <c r="DE407" s="13"/>
      <c r="DF407" s="13"/>
      <c r="DG407" s="13"/>
      <c r="DH407" s="13"/>
      <c r="DI407" s="13"/>
      <c r="DJ407" s="13"/>
      <c r="DK407" s="13"/>
      <c r="DL407" s="13"/>
      <c r="DM407" s="13"/>
      <c r="DN407" s="13"/>
      <c r="DO407" s="13"/>
      <c r="DP407" s="13"/>
      <c r="DQ407" s="13"/>
      <c r="DR407" s="13"/>
      <c r="DS407" s="13"/>
      <c r="DT407" s="13"/>
      <c r="DU407" s="13"/>
      <c r="DV407" s="13"/>
      <c r="DW407" s="13"/>
      <c r="DX407" s="13"/>
      <c r="DY407" s="13"/>
      <c r="DZ407" s="13"/>
      <c r="EA407" s="13"/>
      <c r="EB407" s="13"/>
      <c r="EC407" s="13"/>
      <c r="ED407" s="13"/>
      <c r="EE407" s="13"/>
      <c r="EF407" s="13"/>
      <c r="EG407" s="13"/>
      <c r="EH407" s="13"/>
      <c r="EI407" s="13"/>
      <c r="EJ407" s="13"/>
      <c r="EK407" s="13"/>
      <c r="EL407" s="13"/>
      <c r="EM407" s="13"/>
      <c r="EN407" s="13"/>
      <c r="EO407" s="13"/>
      <c r="EP407" s="13"/>
      <c r="EQ407" s="13"/>
      <c r="ER407" s="13"/>
      <c r="ES407" s="13"/>
      <c r="ET407" s="13"/>
      <c r="EU407" s="13"/>
      <c r="EV407" s="13"/>
      <c r="EW407" s="13"/>
      <c r="EX407" s="13"/>
      <c r="EY407" s="13"/>
      <c r="EZ407" s="13"/>
      <c r="FA407" s="13"/>
      <c r="FB407" s="13"/>
      <c r="FC407" s="13"/>
      <c r="FD407" s="13"/>
      <c r="FE407" s="13"/>
      <c r="FF407" s="13"/>
      <c r="FG407" s="13"/>
      <c r="FH407" s="13"/>
      <c r="FI407" s="13"/>
      <c r="FJ407" s="13"/>
      <c r="FK407" s="13"/>
      <c r="FL407" s="13"/>
      <c r="FM407" s="13"/>
      <c r="FN407" s="13"/>
      <c r="FO407" s="13"/>
      <c r="FP407" s="13"/>
      <c r="FQ407" s="13"/>
      <c r="FR407" s="13"/>
      <c r="FS407" s="13"/>
      <c r="FT407" s="13"/>
      <c r="FU407" s="13"/>
      <c r="FV407" s="13"/>
      <c r="FW407" s="13"/>
      <c r="FX407" s="13"/>
      <c r="FY407" s="13"/>
      <c r="FZ407" s="13"/>
      <c r="GA407" s="13"/>
      <c r="GB407" s="13"/>
      <c r="GC407" s="13"/>
      <c r="GD407" s="13"/>
      <c r="GE407" s="13"/>
      <c r="GF407" s="13"/>
      <c r="GG407" s="13"/>
      <c r="GH407" s="13"/>
      <c r="GI407" s="13"/>
      <c r="GJ407" s="13"/>
      <c r="GK407" s="13"/>
      <c r="GL407" s="13"/>
      <c r="GM407" s="13"/>
      <c r="GN407" s="13"/>
      <c r="GO407" s="13"/>
      <c r="GP407" s="13"/>
      <c r="GQ407" s="13"/>
      <c r="GR407" s="13"/>
      <c r="GS407" s="13"/>
      <c r="GT407" s="13"/>
      <c r="GU407" s="13"/>
      <c r="GV407" s="13"/>
      <c r="GW407" s="13"/>
      <c r="GX407" s="13"/>
      <c r="GY407" s="13"/>
      <c r="GZ407" s="13"/>
      <c r="HA407" s="13"/>
      <c r="HB407" s="13"/>
      <c r="HC407" s="13"/>
      <c r="HD407" s="13"/>
      <c r="HE407" s="13"/>
      <c r="HF407" s="13"/>
      <c r="HG407" s="13"/>
      <c r="HH407" s="13"/>
      <c r="HI407" s="13"/>
      <c r="HJ407" s="13"/>
      <c r="HK407" s="13"/>
      <c r="HL407" s="13"/>
      <c r="HM407" s="13"/>
      <c r="HN407" s="13"/>
      <c r="HO407" s="13"/>
      <c r="HP407" s="13"/>
      <c r="HQ407" s="13"/>
      <c r="HR407" s="13"/>
      <c r="HS407" s="13"/>
      <c r="HT407" s="13"/>
      <c r="HU407" s="13"/>
      <c r="HV407" s="13"/>
      <c r="HW407" s="13"/>
      <c r="HX407" s="13"/>
      <c r="HY407" s="13"/>
      <c r="HZ407" s="13"/>
      <c r="IA407" s="13"/>
      <c r="IB407" s="13"/>
      <c r="IC407" s="13"/>
      <c r="ID407" s="13"/>
      <c r="IE407" s="13"/>
      <c r="IF407" s="13"/>
      <c r="IG407" s="13"/>
      <c r="IH407" s="13"/>
      <c r="II407" s="13"/>
      <c r="IJ407" s="13"/>
      <c r="IK407" s="13"/>
      <c r="IL407" s="13"/>
      <c r="IM407" s="13"/>
      <c r="IN407" s="13"/>
      <c r="IO407" s="13"/>
      <c r="IP407" s="13"/>
      <c r="IQ407" s="13"/>
      <c r="IR407" s="13"/>
      <c r="IS407" s="13"/>
      <c r="IT407" s="13"/>
      <c r="IU407" s="13"/>
      <c r="IV407" s="13"/>
    </row>
    <row r="408" spans="48:256"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Y408" s="13"/>
      <c r="CZ408" s="13"/>
      <c r="DA408" s="13"/>
      <c r="DB408" s="13"/>
      <c r="DC408" s="13"/>
      <c r="DD408" s="13"/>
      <c r="DE408" s="13"/>
      <c r="DF408" s="13"/>
      <c r="DG408" s="13"/>
      <c r="DH408" s="13"/>
      <c r="DI408" s="13"/>
      <c r="DJ408" s="13"/>
      <c r="DK408" s="13"/>
      <c r="DL408" s="13"/>
      <c r="DM408" s="13"/>
      <c r="DN408" s="13"/>
      <c r="DO408" s="13"/>
      <c r="DP408" s="13"/>
      <c r="DQ408" s="13"/>
      <c r="DR408" s="13"/>
      <c r="DS408" s="13"/>
      <c r="DT408" s="13"/>
      <c r="DU408" s="13"/>
      <c r="DV408" s="13"/>
      <c r="DW408" s="13"/>
      <c r="DX408" s="13"/>
      <c r="DY408" s="13"/>
      <c r="DZ408" s="13"/>
      <c r="EA408" s="13"/>
      <c r="EB408" s="13"/>
      <c r="EC408" s="13"/>
      <c r="ED408" s="13"/>
      <c r="EE408" s="13"/>
      <c r="EF408" s="13"/>
      <c r="EG408" s="13"/>
      <c r="EH408" s="13"/>
      <c r="EI408" s="13"/>
      <c r="EJ408" s="13"/>
      <c r="EK408" s="13"/>
      <c r="EL408" s="13"/>
      <c r="EM408" s="13"/>
      <c r="EN408" s="13"/>
      <c r="EO408" s="13"/>
      <c r="EP408" s="13"/>
      <c r="EQ408" s="13"/>
      <c r="ER408" s="13"/>
      <c r="ES408" s="13"/>
      <c r="ET408" s="13"/>
      <c r="EU408" s="13"/>
      <c r="EV408" s="13"/>
      <c r="EW408" s="13"/>
      <c r="EX408" s="13"/>
      <c r="EY408" s="13"/>
      <c r="EZ408" s="13"/>
      <c r="FA408" s="13"/>
      <c r="FB408" s="13"/>
      <c r="FC408" s="13"/>
      <c r="FD408" s="13"/>
      <c r="FE408" s="13"/>
      <c r="FF408" s="13"/>
      <c r="FG408" s="13"/>
      <c r="FH408" s="13"/>
      <c r="FI408" s="13"/>
      <c r="FJ408" s="13"/>
      <c r="FK408" s="13"/>
      <c r="FL408" s="13"/>
      <c r="FM408" s="13"/>
      <c r="FN408" s="13"/>
      <c r="FO408" s="13"/>
      <c r="FP408" s="13"/>
      <c r="FQ408" s="13"/>
      <c r="FR408" s="13"/>
      <c r="FS408" s="13"/>
      <c r="FT408" s="13"/>
      <c r="FU408" s="13"/>
      <c r="FV408" s="13"/>
      <c r="FW408" s="13"/>
      <c r="FX408" s="13"/>
      <c r="FY408" s="13"/>
      <c r="FZ408" s="13"/>
      <c r="GA408" s="13"/>
      <c r="GB408" s="13"/>
      <c r="GC408" s="13"/>
      <c r="GD408" s="13"/>
      <c r="GE408" s="13"/>
      <c r="GF408" s="13"/>
      <c r="GG408" s="13"/>
      <c r="GH408" s="13"/>
      <c r="GI408" s="13"/>
      <c r="GJ408" s="13"/>
      <c r="GK408" s="13"/>
      <c r="GL408" s="13"/>
      <c r="GM408" s="13"/>
      <c r="GN408" s="13"/>
      <c r="GO408" s="13"/>
      <c r="GP408" s="13"/>
      <c r="GQ408" s="13"/>
      <c r="GR408" s="13"/>
      <c r="GS408" s="13"/>
      <c r="GT408" s="13"/>
      <c r="GU408" s="13"/>
      <c r="GV408" s="13"/>
      <c r="GW408" s="13"/>
      <c r="GX408" s="13"/>
      <c r="GY408" s="13"/>
      <c r="GZ408" s="13"/>
      <c r="HA408" s="13"/>
      <c r="HB408" s="13"/>
      <c r="HC408" s="13"/>
      <c r="HD408" s="13"/>
      <c r="HE408" s="13"/>
      <c r="HF408" s="13"/>
      <c r="HG408" s="13"/>
      <c r="HH408" s="13"/>
      <c r="HI408" s="13"/>
      <c r="HJ408" s="13"/>
      <c r="HK408" s="13"/>
      <c r="HL408" s="13"/>
      <c r="HM408" s="13"/>
      <c r="HN408" s="13"/>
      <c r="HO408" s="13"/>
      <c r="HP408" s="13"/>
      <c r="HQ408" s="13"/>
      <c r="HR408" s="13"/>
      <c r="HS408" s="13"/>
      <c r="HT408" s="13"/>
      <c r="HU408" s="13"/>
      <c r="HV408" s="13"/>
      <c r="HW408" s="13"/>
      <c r="HX408" s="13"/>
      <c r="HY408" s="13"/>
      <c r="HZ408" s="13"/>
      <c r="IA408" s="13"/>
      <c r="IB408" s="13"/>
      <c r="IC408" s="13"/>
      <c r="ID408" s="13"/>
      <c r="IE408" s="13"/>
      <c r="IF408" s="13"/>
      <c r="IG408" s="13"/>
      <c r="IH408" s="13"/>
      <c r="II408" s="13"/>
      <c r="IJ408" s="13"/>
      <c r="IK408" s="13"/>
      <c r="IL408" s="13"/>
      <c r="IM408" s="13"/>
      <c r="IN408" s="13"/>
      <c r="IO408" s="13"/>
      <c r="IP408" s="13"/>
      <c r="IQ408" s="13"/>
      <c r="IR408" s="13"/>
      <c r="IS408" s="13"/>
      <c r="IT408" s="13"/>
      <c r="IU408" s="13"/>
      <c r="IV408" s="13"/>
    </row>
    <row r="409" spans="48:256"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X409" s="13"/>
      <c r="CY409" s="13"/>
      <c r="CZ409" s="13"/>
      <c r="DA409" s="13"/>
      <c r="DB409" s="13"/>
      <c r="DC409" s="13"/>
      <c r="DD409" s="13"/>
      <c r="DE409" s="13"/>
      <c r="DF409" s="13"/>
      <c r="DG409" s="13"/>
      <c r="DH409" s="13"/>
      <c r="DI409" s="13"/>
      <c r="DJ409" s="13"/>
      <c r="DK409" s="13"/>
      <c r="DL409" s="13"/>
      <c r="DM409" s="13"/>
      <c r="DN409" s="13"/>
      <c r="DO409" s="13"/>
      <c r="DP409" s="13"/>
      <c r="DQ409" s="13"/>
      <c r="DR409" s="13"/>
      <c r="DS409" s="13"/>
      <c r="DT409" s="13"/>
      <c r="DU409" s="13"/>
      <c r="DV409" s="13"/>
      <c r="DW409" s="13"/>
      <c r="DX409" s="13"/>
      <c r="DY409" s="13"/>
      <c r="DZ409" s="13"/>
      <c r="EA409" s="13"/>
      <c r="EB409" s="13"/>
      <c r="EC409" s="13"/>
      <c r="ED409" s="13"/>
      <c r="EE409" s="13"/>
      <c r="EF409" s="13"/>
      <c r="EG409" s="13"/>
      <c r="EH409" s="13"/>
      <c r="EI409" s="13"/>
      <c r="EJ409" s="13"/>
      <c r="EK409" s="13"/>
      <c r="EL409" s="13"/>
      <c r="EM409" s="13"/>
      <c r="EN409" s="13"/>
      <c r="EO409" s="13"/>
      <c r="EP409" s="13"/>
      <c r="EQ409" s="13"/>
      <c r="ER409" s="13"/>
      <c r="ES409" s="13"/>
      <c r="ET409" s="13"/>
      <c r="EU409" s="13"/>
      <c r="EV409" s="13"/>
      <c r="EW409" s="13"/>
      <c r="EX409" s="13"/>
      <c r="EY409" s="13"/>
      <c r="EZ409" s="13"/>
      <c r="FA409" s="13"/>
      <c r="FB409" s="13"/>
      <c r="FC409" s="13"/>
      <c r="FD409" s="13"/>
      <c r="FE409" s="13"/>
      <c r="FF409" s="13"/>
      <c r="FG409" s="13"/>
      <c r="FH409" s="13"/>
      <c r="FI409" s="13"/>
      <c r="FJ409" s="13"/>
      <c r="FK409" s="13"/>
      <c r="FL409" s="13"/>
      <c r="FM409" s="13"/>
      <c r="FN409" s="13"/>
      <c r="FO409" s="13"/>
      <c r="FP409" s="13"/>
      <c r="FQ409" s="13"/>
      <c r="FR409" s="13"/>
      <c r="FS409" s="13"/>
      <c r="FT409" s="13"/>
      <c r="FU409" s="13"/>
      <c r="FV409" s="13"/>
      <c r="FW409" s="13"/>
      <c r="FX409" s="13"/>
      <c r="FY409" s="13"/>
      <c r="FZ409" s="13"/>
      <c r="GA409" s="13"/>
      <c r="GB409" s="13"/>
      <c r="GC409" s="13"/>
      <c r="GD409" s="13"/>
      <c r="GE409" s="13"/>
      <c r="GF409" s="13"/>
      <c r="GG409" s="13"/>
      <c r="GH409" s="13"/>
      <c r="GI409" s="13"/>
      <c r="GJ409" s="13"/>
      <c r="GK409" s="13"/>
      <c r="GL409" s="13"/>
      <c r="GM409" s="13"/>
      <c r="GN409" s="13"/>
      <c r="GO409" s="13"/>
      <c r="GP409" s="13"/>
      <c r="GQ409" s="13"/>
      <c r="GR409" s="13"/>
      <c r="GS409" s="13"/>
      <c r="GT409" s="13"/>
      <c r="GU409" s="13"/>
      <c r="GV409" s="13"/>
      <c r="GW409" s="13"/>
      <c r="GX409" s="13"/>
      <c r="GY409" s="13"/>
      <c r="GZ409" s="13"/>
      <c r="HA409" s="13"/>
      <c r="HB409" s="13"/>
      <c r="HC409" s="13"/>
      <c r="HD409" s="13"/>
      <c r="HE409" s="13"/>
      <c r="HF409" s="13"/>
      <c r="HG409" s="13"/>
      <c r="HH409" s="13"/>
      <c r="HI409" s="13"/>
      <c r="HJ409" s="13"/>
      <c r="HK409" s="13"/>
      <c r="HL409" s="13"/>
      <c r="HM409" s="13"/>
      <c r="HN409" s="13"/>
      <c r="HO409" s="13"/>
      <c r="HP409" s="13"/>
      <c r="HQ409" s="13"/>
      <c r="HR409" s="13"/>
      <c r="HS409" s="13"/>
      <c r="HT409" s="13"/>
      <c r="HU409" s="13"/>
      <c r="HV409" s="13"/>
      <c r="HW409" s="13"/>
      <c r="HX409" s="13"/>
      <c r="HY409" s="13"/>
      <c r="HZ409" s="13"/>
      <c r="IA409" s="13"/>
      <c r="IB409" s="13"/>
      <c r="IC409" s="13"/>
      <c r="ID409" s="13"/>
      <c r="IE409" s="13"/>
      <c r="IF409" s="13"/>
      <c r="IG409" s="13"/>
      <c r="IH409" s="13"/>
      <c r="II409" s="13"/>
      <c r="IJ409" s="13"/>
      <c r="IK409" s="13"/>
      <c r="IL409" s="13"/>
      <c r="IM409" s="13"/>
      <c r="IN409" s="13"/>
      <c r="IO409" s="13"/>
      <c r="IP409" s="13"/>
      <c r="IQ409" s="13"/>
      <c r="IR409" s="13"/>
      <c r="IS409" s="13"/>
      <c r="IT409" s="13"/>
      <c r="IU409" s="13"/>
      <c r="IV409" s="13"/>
    </row>
    <row r="410" spans="48:256"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X410" s="13"/>
      <c r="CY410" s="13"/>
      <c r="CZ410" s="13"/>
      <c r="DA410" s="13"/>
      <c r="DB410" s="13"/>
      <c r="DC410" s="13"/>
      <c r="DD410" s="13"/>
      <c r="DE410" s="13"/>
      <c r="DF410" s="13"/>
      <c r="DG410" s="13"/>
      <c r="DH410" s="13"/>
      <c r="DI410" s="13"/>
      <c r="DJ410" s="13"/>
      <c r="DK410" s="13"/>
      <c r="DL410" s="13"/>
      <c r="DM410" s="13"/>
      <c r="DN410" s="13"/>
      <c r="DO410" s="13"/>
      <c r="DP410" s="13"/>
      <c r="DQ410" s="13"/>
      <c r="DR410" s="13"/>
      <c r="DS410" s="13"/>
      <c r="DT410" s="13"/>
      <c r="DU410" s="13"/>
      <c r="DV410" s="13"/>
      <c r="DW410" s="13"/>
      <c r="DX410" s="13"/>
      <c r="DY410" s="13"/>
      <c r="DZ410" s="13"/>
      <c r="EA410" s="13"/>
      <c r="EB410" s="13"/>
      <c r="EC410" s="13"/>
      <c r="ED410" s="13"/>
      <c r="EE410" s="13"/>
      <c r="EF410" s="13"/>
      <c r="EG410" s="13"/>
      <c r="EH410" s="13"/>
      <c r="EI410" s="13"/>
      <c r="EJ410" s="13"/>
      <c r="EK410" s="13"/>
      <c r="EL410" s="13"/>
      <c r="EM410" s="13"/>
      <c r="EN410" s="13"/>
      <c r="EO410" s="13"/>
      <c r="EP410" s="13"/>
      <c r="EQ410" s="13"/>
      <c r="ER410" s="13"/>
      <c r="ES410" s="13"/>
      <c r="ET410" s="13"/>
      <c r="EU410" s="13"/>
      <c r="EV410" s="13"/>
      <c r="EW410" s="13"/>
      <c r="EX410" s="13"/>
      <c r="EY410" s="13"/>
      <c r="EZ410" s="13"/>
      <c r="FA410" s="13"/>
      <c r="FB410" s="13"/>
      <c r="FC410" s="13"/>
      <c r="FD410" s="13"/>
      <c r="FE410" s="13"/>
      <c r="FF410" s="13"/>
      <c r="FG410" s="13"/>
      <c r="FH410" s="13"/>
      <c r="FI410" s="13"/>
      <c r="FJ410" s="13"/>
      <c r="FK410" s="13"/>
      <c r="FL410" s="13"/>
      <c r="FM410" s="13"/>
      <c r="FN410" s="13"/>
      <c r="FO410" s="13"/>
      <c r="FP410" s="13"/>
      <c r="FQ410" s="13"/>
      <c r="FR410" s="13"/>
      <c r="FS410" s="13"/>
      <c r="FT410" s="13"/>
      <c r="FU410" s="13"/>
      <c r="FV410" s="13"/>
      <c r="FW410" s="13"/>
      <c r="FX410" s="13"/>
      <c r="FY410" s="13"/>
      <c r="FZ410" s="13"/>
      <c r="GA410" s="13"/>
      <c r="GB410" s="13"/>
      <c r="GC410" s="13"/>
      <c r="GD410" s="13"/>
      <c r="GE410" s="13"/>
      <c r="GF410" s="13"/>
      <c r="GG410" s="13"/>
      <c r="GH410" s="13"/>
      <c r="GI410" s="13"/>
      <c r="GJ410" s="13"/>
      <c r="GK410" s="13"/>
      <c r="GL410" s="13"/>
      <c r="GM410" s="13"/>
      <c r="GN410" s="13"/>
      <c r="GO410" s="13"/>
      <c r="GP410" s="13"/>
      <c r="GQ410" s="13"/>
      <c r="GR410" s="13"/>
      <c r="GS410" s="13"/>
      <c r="GT410" s="13"/>
      <c r="GU410" s="13"/>
      <c r="GV410" s="13"/>
      <c r="GW410" s="13"/>
      <c r="GX410" s="13"/>
      <c r="GY410" s="13"/>
      <c r="GZ410" s="13"/>
      <c r="HA410" s="13"/>
      <c r="HB410" s="13"/>
      <c r="HC410" s="13"/>
      <c r="HD410" s="13"/>
      <c r="HE410" s="13"/>
      <c r="HF410" s="13"/>
      <c r="HG410" s="13"/>
      <c r="HH410" s="13"/>
      <c r="HI410" s="13"/>
      <c r="HJ410" s="13"/>
      <c r="HK410" s="13"/>
      <c r="HL410" s="13"/>
      <c r="HM410" s="13"/>
      <c r="HN410" s="13"/>
      <c r="HO410" s="13"/>
      <c r="HP410" s="13"/>
      <c r="HQ410" s="13"/>
      <c r="HR410" s="13"/>
      <c r="HS410" s="13"/>
      <c r="HT410" s="13"/>
      <c r="HU410" s="13"/>
      <c r="HV410" s="13"/>
      <c r="HW410" s="13"/>
      <c r="HX410" s="13"/>
      <c r="HY410" s="13"/>
      <c r="HZ410" s="13"/>
      <c r="IA410" s="13"/>
      <c r="IB410" s="13"/>
      <c r="IC410" s="13"/>
      <c r="ID410" s="13"/>
      <c r="IE410" s="13"/>
      <c r="IF410" s="13"/>
      <c r="IG410" s="13"/>
      <c r="IH410" s="13"/>
      <c r="II410" s="13"/>
      <c r="IJ410" s="13"/>
      <c r="IK410" s="13"/>
      <c r="IL410" s="13"/>
      <c r="IM410" s="13"/>
      <c r="IN410" s="13"/>
      <c r="IO410" s="13"/>
      <c r="IP410" s="13"/>
      <c r="IQ410" s="13"/>
      <c r="IR410" s="13"/>
      <c r="IS410" s="13"/>
      <c r="IT410" s="13"/>
      <c r="IU410" s="13"/>
      <c r="IV410" s="13"/>
    </row>
    <row r="411" spans="48:256"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X411" s="13"/>
      <c r="CY411" s="13"/>
      <c r="CZ411" s="13"/>
      <c r="DA411" s="13"/>
      <c r="DB411" s="13"/>
      <c r="DC411" s="13"/>
      <c r="DD411" s="13"/>
      <c r="DE411" s="13"/>
      <c r="DF411" s="13"/>
      <c r="DG411" s="13"/>
      <c r="DH411" s="13"/>
      <c r="DI411" s="13"/>
      <c r="DJ411" s="13"/>
      <c r="DK411" s="13"/>
      <c r="DL411" s="13"/>
      <c r="DM411" s="13"/>
      <c r="DN411" s="13"/>
      <c r="DO411" s="13"/>
      <c r="DP411" s="13"/>
      <c r="DQ411" s="13"/>
      <c r="DR411" s="13"/>
      <c r="DS411" s="13"/>
      <c r="DT411" s="13"/>
      <c r="DU411" s="13"/>
      <c r="DV411" s="13"/>
      <c r="DW411" s="13"/>
      <c r="DX411" s="13"/>
      <c r="DY411" s="13"/>
      <c r="DZ411" s="13"/>
      <c r="EA411" s="13"/>
      <c r="EB411" s="13"/>
      <c r="EC411" s="13"/>
      <c r="ED411" s="13"/>
      <c r="EE411" s="13"/>
      <c r="EF411" s="13"/>
      <c r="EG411" s="13"/>
      <c r="EH411" s="13"/>
      <c r="EI411" s="13"/>
      <c r="EJ411" s="13"/>
      <c r="EK411" s="13"/>
      <c r="EL411" s="13"/>
      <c r="EM411" s="13"/>
      <c r="EN411" s="13"/>
      <c r="EO411" s="13"/>
      <c r="EP411" s="13"/>
      <c r="EQ411" s="13"/>
      <c r="ER411" s="13"/>
      <c r="ES411" s="13"/>
      <c r="ET411" s="13"/>
      <c r="EU411" s="13"/>
      <c r="EV411" s="13"/>
      <c r="EW411" s="13"/>
      <c r="EX411" s="13"/>
      <c r="EY411" s="13"/>
      <c r="EZ411" s="13"/>
      <c r="FA411" s="13"/>
      <c r="FB411" s="13"/>
      <c r="FC411" s="13"/>
      <c r="FD411" s="13"/>
      <c r="FE411" s="13"/>
      <c r="FF411" s="13"/>
      <c r="FG411" s="13"/>
      <c r="FH411" s="13"/>
      <c r="FI411" s="13"/>
      <c r="FJ411" s="13"/>
      <c r="FK411" s="13"/>
      <c r="FL411" s="13"/>
      <c r="FM411" s="13"/>
      <c r="FN411" s="13"/>
      <c r="FO411" s="13"/>
      <c r="FP411" s="13"/>
      <c r="FQ411" s="13"/>
      <c r="FR411" s="13"/>
      <c r="FS411" s="13"/>
      <c r="FT411" s="13"/>
      <c r="FU411" s="13"/>
      <c r="FV411" s="13"/>
      <c r="FW411" s="13"/>
      <c r="FX411" s="13"/>
      <c r="FY411" s="13"/>
      <c r="FZ411" s="13"/>
      <c r="GA411" s="13"/>
      <c r="GB411" s="13"/>
      <c r="GC411" s="13"/>
      <c r="GD411" s="13"/>
      <c r="GE411" s="13"/>
      <c r="GF411" s="13"/>
      <c r="GG411" s="13"/>
      <c r="GH411" s="13"/>
      <c r="GI411" s="13"/>
      <c r="GJ411" s="13"/>
      <c r="GK411" s="13"/>
      <c r="GL411" s="13"/>
      <c r="GM411" s="13"/>
      <c r="GN411" s="13"/>
      <c r="GO411" s="13"/>
      <c r="GP411" s="13"/>
      <c r="GQ411" s="13"/>
      <c r="GR411" s="13"/>
      <c r="GS411" s="13"/>
      <c r="GT411" s="13"/>
      <c r="GU411" s="13"/>
      <c r="GV411" s="13"/>
      <c r="GW411" s="13"/>
      <c r="GX411" s="13"/>
      <c r="GY411" s="13"/>
      <c r="GZ411" s="13"/>
      <c r="HA411" s="13"/>
      <c r="HB411" s="13"/>
      <c r="HC411" s="13"/>
      <c r="HD411" s="13"/>
      <c r="HE411" s="13"/>
      <c r="HF411" s="13"/>
      <c r="HG411" s="13"/>
      <c r="HH411" s="13"/>
      <c r="HI411" s="13"/>
      <c r="HJ411" s="13"/>
      <c r="HK411" s="13"/>
      <c r="HL411" s="13"/>
      <c r="HM411" s="13"/>
      <c r="HN411" s="13"/>
      <c r="HO411" s="13"/>
      <c r="HP411" s="13"/>
      <c r="HQ411" s="13"/>
      <c r="HR411" s="13"/>
      <c r="HS411" s="13"/>
      <c r="HT411" s="13"/>
      <c r="HU411" s="13"/>
      <c r="HV411" s="13"/>
      <c r="HW411" s="13"/>
      <c r="HX411" s="13"/>
      <c r="HY411" s="13"/>
      <c r="HZ411" s="13"/>
      <c r="IA411" s="13"/>
      <c r="IB411" s="13"/>
      <c r="IC411" s="13"/>
      <c r="ID411" s="13"/>
      <c r="IE411" s="13"/>
      <c r="IF411" s="13"/>
      <c r="IG411" s="13"/>
      <c r="IH411" s="13"/>
      <c r="II411" s="13"/>
      <c r="IJ411" s="13"/>
      <c r="IK411" s="13"/>
      <c r="IL411" s="13"/>
      <c r="IM411" s="13"/>
      <c r="IN411" s="13"/>
      <c r="IO411" s="13"/>
      <c r="IP411" s="13"/>
      <c r="IQ411" s="13"/>
      <c r="IR411" s="13"/>
      <c r="IS411" s="13"/>
      <c r="IT411" s="13"/>
      <c r="IU411" s="13"/>
      <c r="IV411" s="13"/>
    </row>
    <row r="412" spans="48:256"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X412" s="13"/>
      <c r="CY412" s="13"/>
      <c r="CZ412" s="13"/>
      <c r="DA412" s="13"/>
      <c r="DB412" s="13"/>
      <c r="DC412" s="13"/>
      <c r="DD412" s="13"/>
      <c r="DE412" s="13"/>
      <c r="DF412" s="13"/>
      <c r="DG412" s="13"/>
      <c r="DH412" s="13"/>
      <c r="DI412" s="13"/>
      <c r="DJ412" s="13"/>
      <c r="DK412" s="13"/>
      <c r="DL412" s="13"/>
      <c r="DM412" s="13"/>
      <c r="DN412" s="13"/>
      <c r="DO412" s="13"/>
      <c r="DP412" s="13"/>
      <c r="DQ412" s="13"/>
      <c r="DR412" s="13"/>
      <c r="DS412" s="13"/>
      <c r="DT412" s="13"/>
      <c r="DU412" s="13"/>
      <c r="DV412" s="13"/>
      <c r="DW412" s="13"/>
      <c r="DX412" s="13"/>
      <c r="DY412" s="13"/>
      <c r="DZ412" s="13"/>
      <c r="EA412" s="13"/>
      <c r="EB412" s="13"/>
      <c r="EC412" s="13"/>
      <c r="ED412" s="13"/>
      <c r="EE412" s="13"/>
      <c r="EF412" s="13"/>
      <c r="EG412" s="13"/>
      <c r="EH412" s="13"/>
      <c r="EI412" s="13"/>
      <c r="EJ412" s="13"/>
      <c r="EK412" s="13"/>
      <c r="EL412" s="13"/>
      <c r="EM412" s="13"/>
      <c r="EN412" s="13"/>
      <c r="EO412" s="13"/>
      <c r="EP412" s="13"/>
      <c r="EQ412" s="13"/>
      <c r="ER412" s="13"/>
      <c r="ES412" s="13"/>
      <c r="ET412" s="13"/>
      <c r="EU412" s="13"/>
      <c r="EV412" s="13"/>
      <c r="EW412" s="13"/>
      <c r="EX412" s="13"/>
      <c r="EY412" s="13"/>
      <c r="EZ412" s="13"/>
      <c r="FA412" s="13"/>
      <c r="FB412" s="13"/>
      <c r="FC412" s="13"/>
      <c r="FD412" s="13"/>
      <c r="FE412" s="13"/>
      <c r="FF412" s="13"/>
      <c r="FG412" s="13"/>
      <c r="FH412" s="13"/>
      <c r="FI412" s="13"/>
      <c r="FJ412" s="13"/>
      <c r="FK412" s="13"/>
      <c r="FL412" s="13"/>
      <c r="FM412" s="13"/>
      <c r="FN412" s="13"/>
      <c r="FO412" s="13"/>
      <c r="FP412" s="13"/>
      <c r="FQ412" s="13"/>
      <c r="FR412" s="13"/>
      <c r="FS412" s="13"/>
      <c r="FT412" s="13"/>
      <c r="FU412" s="13"/>
      <c r="FV412" s="13"/>
      <c r="FW412" s="13"/>
      <c r="FX412" s="13"/>
      <c r="FY412" s="13"/>
      <c r="FZ412" s="13"/>
      <c r="GA412" s="13"/>
      <c r="GB412" s="13"/>
      <c r="GC412" s="13"/>
      <c r="GD412" s="13"/>
      <c r="GE412" s="13"/>
      <c r="GF412" s="13"/>
      <c r="GG412" s="13"/>
      <c r="GH412" s="13"/>
      <c r="GI412" s="13"/>
      <c r="GJ412" s="13"/>
      <c r="GK412" s="13"/>
      <c r="GL412" s="13"/>
      <c r="GM412" s="13"/>
      <c r="GN412" s="13"/>
      <c r="GO412" s="13"/>
      <c r="GP412" s="13"/>
      <c r="GQ412" s="13"/>
      <c r="GR412" s="13"/>
      <c r="GS412" s="13"/>
      <c r="GT412" s="13"/>
      <c r="GU412" s="13"/>
      <c r="GV412" s="13"/>
      <c r="GW412" s="13"/>
      <c r="GX412" s="13"/>
      <c r="GY412" s="13"/>
      <c r="GZ412" s="13"/>
      <c r="HA412" s="13"/>
      <c r="HB412" s="13"/>
      <c r="HC412" s="13"/>
      <c r="HD412" s="13"/>
      <c r="HE412" s="13"/>
      <c r="HF412" s="13"/>
      <c r="HG412" s="13"/>
      <c r="HH412" s="13"/>
      <c r="HI412" s="13"/>
      <c r="HJ412" s="13"/>
      <c r="HK412" s="13"/>
      <c r="HL412" s="13"/>
      <c r="HM412" s="13"/>
      <c r="HN412" s="13"/>
      <c r="HO412" s="13"/>
      <c r="HP412" s="13"/>
      <c r="HQ412" s="13"/>
      <c r="HR412" s="13"/>
      <c r="HS412" s="13"/>
      <c r="HT412" s="13"/>
      <c r="HU412" s="13"/>
      <c r="HV412" s="13"/>
      <c r="HW412" s="13"/>
      <c r="HX412" s="13"/>
      <c r="HY412" s="13"/>
      <c r="HZ412" s="13"/>
      <c r="IA412" s="13"/>
      <c r="IB412" s="13"/>
      <c r="IC412" s="13"/>
      <c r="ID412" s="13"/>
      <c r="IE412" s="13"/>
      <c r="IF412" s="13"/>
      <c r="IG412" s="13"/>
      <c r="IH412" s="13"/>
      <c r="II412" s="13"/>
      <c r="IJ412" s="13"/>
      <c r="IK412" s="13"/>
      <c r="IL412" s="13"/>
      <c r="IM412" s="13"/>
      <c r="IN412" s="13"/>
      <c r="IO412" s="13"/>
      <c r="IP412" s="13"/>
      <c r="IQ412" s="13"/>
      <c r="IR412" s="13"/>
      <c r="IS412" s="13"/>
      <c r="IT412" s="13"/>
      <c r="IU412" s="13"/>
      <c r="IV412" s="13"/>
    </row>
    <row r="413" spans="48:256"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X413" s="13"/>
      <c r="CY413" s="13"/>
      <c r="CZ413" s="13"/>
      <c r="DA413" s="13"/>
      <c r="DB413" s="13"/>
      <c r="DC413" s="13"/>
      <c r="DD413" s="13"/>
      <c r="DE413" s="13"/>
      <c r="DF413" s="13"/>
      <c r="DG413" s="13"/>
      <c r="DH413" s="13"/>
      <c r="DI413" s="13"/>
      <c r="DJ413" s="13"/>
      <c r="DK413" s="13"/>
      <c r="DL413" s="13"/>
      <c r="DM413" s="13"/>
      <c r="DN413" s="13"/>
      <c r="DO413" s="13"/>
      <c r="DP413" s="13"/>
      <c r="DQ413" s="13"/>
      <c r="DR413" s="13"/>
      <c r="DS413" s="13"/>
      <c r="DT413" s="13"/>
      <c r="DU413" s="13"/>
      <c r="DV413" s="13"/>
      <c r="DW413" s="13"/>
      <c r="DX413" s="13"/>
      <c r="DY413" s="13"/>
      <c r="DZ413" s="13"/>
      <c r="EA413" s="13"/>
      <c r="EB413" s="13"/>
      <c r="EC413" s="13"/>
      <c r="ED413" s="13"/>
      <c r="EE413" s="13"/>
      <c r="EF413" s="13"/>
      <c r="EG413" s="13"/>
      <c r="EH413" s="13"/>
      <c r="EI413" s="13"/>
      <c r="EJ413" s="13"/>
      <c r="EK413" s="13"/>
      <c r="EL413" s="13"/>
      <c r="EM413" s="13"/>
      <c r="EN413" s="13"/>
      <c r="EO413" s="13"/>
      <c r="EP413" s="13"/>
      <c r="EQ413" s="13"/>
      <c r="ER413" s="13"/>
      <c r="ES413" s="13"/>
      <c r="ET413" s="13"/>
      <c r="EU413" s="13"/>
      <c r="EV413" s="13"/>
      <c r="EW413" s="13"/>
      <c r="EX413" s="13"/>
      <c r="EY413" s="13"/>
      <c r="EZ413" s="13"/>
      <c r="FA413" s="13"/>
      <c r="FB413" s="13"/>
      <c r="FC413" s="13"/>
      <c r="FD413" s="13"/>
      <c r="FE413" s="13"/>
      <c r="FF413" s="13"/>
      <c r="FG413" s="13"/>
      <c r="FH413" s="13"/>
      <c r="FI413" s="13"/>
      <c r="FJ413" s="13"/>
      <c r="FK413" s="13"/>
      <c r="FL413" s="13"/>
      <c r="FM413" s="13"/>
      <c r="FN413" s="13"/>
      <c r="FO413" s="13"/>
      <c r="FP413" s="13"/>
      <c r="FQ413" s="13"/>
      <c r="FR413" s="13"/>
      <c r="FS413" s="13"/>
      <c r="FT413" s="13"/>
      <c r="FU413" s="13"/>
      <c r="FV413" s="13"/>
      <c r="FW413" s="13"/>
      <c r="FX413" s="13"/>
      <c r="FY413" s="13"/>
      <c r="FZ413" s="13"/>
      <c r="GA413" s="13"/>
      <c r="GB413" s="13"/>
      <c r="GC413" s="13"/>
      <c r="GD413" s="13"/>
      <c r="GE413" s="13"/>
      <c r="GF413" s="13"/>
      <c r="GG413" s="13"/>
      <c r="GH413" s="13"/>
      <c r="GI413" s="13"/>
      <c r="GJ413" s="13"/>
      <c r="GK413" s="13"/>
      <c r="GL413" s="13"/>
      <c r="GM413" s="13"/>
      <c r="GN413" s="13"/>
      <c r="GO413" s="13"/>
      <c r="GP413" s="13"/>
      <c r="GQ413" s="13"/>
      <c r="GR413" s="13"/>
      <c r="GS413" s="13"/>
      <c r="GT413" s="13"/>
      <c r="GU413" s="13"/>
      <c r="GV413" s="13"/>
      <c r="GW413" s="13"/>
      <c r="GX413" s="13"/>
      <c r="GY413" s="13"/>
      <c r="GZ413" s="13"/>
      <c r="HA413" s="13"/>
      <c r="HB413" s="13"/>
      <c r="HC413" s="13"/>
      <c r="HD413" s="13"/>
      <c r="HE413" s="13"/>
      <c r="HF413" s="13"/>
      <c r="HG413" s="13"/>
      <c r="HH413" s="13"/>
      <c r="HI413" s="13"/>
      <c r="HJ413" s="13"/>
      <c r="HK413" s="13"/>
      <c r="HL413" s="13"/>
      <c r="HM413" s="13"/>
      <c r="HN413" s="13"/>
      <c r="HO413" s="13"/>
      <c r="HP413" s="13"/>
      <c r="HQ413" s="13"/>
      <c r="HR413" s="13"/>
      <c r="HS413" s="13"/>
      <c r="HT413" s="13"/>
      <c r="HU413" s="13"/>
      <c r="HV413" s="13"/>
      <c r="HW413" s="13"/>
      <c r="HX413" s="13"/>
      <c r="HY413" s="13"/>
      <c r="HZ413" s="13"/>
      <c r="IA413" s="13"/>
      <c r="IB413" s="13"/>
      <c r="IC413" s="13"/>
      <c r="ID413" s="13"/>
      <c r="IE413" s="13"/>
      <c r="IF413" s="13"/>
      <c r="IG413" s="13"/>
      <c r="IH413" s="13"/>
      <c r="II413" s="13"/>
      <c r="IJ413" s="13"/>
      <c r="IK413" s="13"/>
      <c r="IL413" s="13"/>
      <c r="IM413" s="13"/>
      <c r="IN413" s="13"/>
      <c r="IO413" s="13"/>
      <c r="IP413" s="13"/>
      <c r="IQ413" s="13"/>
      <c r="IR413" s="13"/>
      <c r="IS413" s="13"/>
      <c r="IT413" s="13"/>
      <c r="IU413" s="13"/>
      <c r="IV413" s="13"/>
    </row>
    <row r="414" spans="48:256"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X414" s="13"/>
      <c r="CY414" s="13"/>
      <c r="CZ414" s="13"/>
      <c r="DA414" s="13"/>
      <c r="DB414" s="13"/>
      <c r="DC414" s="13"/>
      <c r="DD414" s="13"/>
      <c r="DE414" s="13"/>
      <c r="DF414" s="13"/>
      <c r="DG414" s="13"/>
      <c r="DH414" s="13"/>
      <c r="DI414" s="13"/>
      <c r="DJ414" s="13"/>
      <c r="DK414" s="13"/>
      <c r="DL414" s="13"/>
      <c r="DM414" s="13"/>
      <c r="DN414" s="13"/>
      <c r="DO414" s="13"/>
      <c r="DP414" s="13"/>
      <c r="DQ414" s="13"/>
      <c r="DR414" s="13"/>
      <c r="DS414" s="13"/>
      <c r="DT414" s="13"/>
      <c r="DU414" s="13"/>
      <c r="DV414" s="13"/>
      <c r="DW414" s="13"/>
      <c r="DX414" s="13"/>
      <c r="DY414" s="13"/>
      <c r="DZ414" s="13"/>
      <c r="EA414" s="13"/>
      <c r="EB414" s="13"/>
      <c r="EC414" s="13"/>
      <c r="ED414" s="13"/>
      <c r="EE414" s="13"/>
      <c r="EF414" s="13"/>
      <c r="EG414" s="13"/>
      <c r="EH414" s="13"/>
      <c r="EI414" s="13"/>
      <c r="EJ414" s="13"/>
      <c r="EK414" s="13"/>
      <c r="EL414" s="13"/>
      <c r="EM414" s="13"/>
      <c r="EN414" s="13"/>
      <c r="EO414" s="13"/>
      <c r="EP414" s="13"/>
      <c r="EQ414" s="13"/>
      <c r="ER414" s="13"/>
      <c r="ES414" s="13"/>
      <c r="ET414" s="13"/>
      <c r="EU414" s="13"/>
      <c r="EV414" s="13"/>
      <c r="EW414" s="13"/>
      <c r="EX414" s="13"/>
      <c r="EY414" s="13"/>
      <c r="EZ414" s="13"/>
      <c r="FA414" s="13"/>
      <c r="FB414" s="13"/>
      <c r="FC414" s="13"/>
      <c r="FD414" s="13"/>
      <c r="FE414" s="13"/>
      <c r="FF414" s="13"/>
      <c r="FG414" s="13"/>
      <c r="FH414" s="13"/>
      <c r="FI414" s="13"/>
      <c r="FJ414" s="13"/>
      <c r="FK414" s="13"/>
      <c r="FL414" s="13"/>
      <c r="FM414" s="13"/>
      <c r="FN414" s="13"/>
      <c r="FO414" s="13"/>
      <c r="FP414" s="13"/>
      <c r="FQ414" s="13"/>
      <c r="FR414" s="13"/>
      <c r="FS414" s="13"/>
      <c r="FT414" s="13"/>
      <c r="FU414" s="13"/>
      <c r="FV414" s="13"/>
      <c r="FW414" s="13"/>
      <c r="FX414" s="13"/>
      <c r="FY414" s="13"/>
      <c r="FZ414" s="13"/>
      <c r="GA414" s="13"/>
      <c r="GB414" s="13"/>
      <c r="GC414" s="13"/>
      <c r="GD414" s="13"/>
      <c r="GE414" s="13"/>
      <c r="GF414" s="13"/>
      <c r="GG414" s="13"/>
      <c r="GH414" s="13"/>
      <c r="GI414" s="13"/>
      <c r="GJ414" s="13"/>
      <c r="GK414" s="13"/>
      <c r="GL414" s="13"/>
      <c r="GM414" s="13"/>
      <c r="GN414" s="13"/>
      <c r="GO414" s="13"/>
      <c r="GP414" s="13"/>
      <c r="GQ414" s="13"/>
      <c r="GR414" s="13"/>
      <c r="GS414" s="13"/>
      <c r="GT414" s="13"/>
      <c r="GU414" s="13"/>
      <c r="GV414" s="13"/>
      <c r="GW414" s="13"/>
      <c r="GX414" s="13"/>
      <c r="GY414" s="13"/>
      <c r="GZ414" s="13"/>
      <c r="HA414" s="13"/>
      <c r="HB414" s="13"/>
      <c r="HC414" s="13"/>
      <c r="HD414" s="13"/>
      <c r="HE414" s="13"/>
      <c r="HF414" s="13"/>
      <c r="HG414" s="13"/>
      <c r="HH414" s="13"/>
      <c r="HI414" s="13"/>
      <c r="HJ414" s="13"/>
      <c r="HK414" s="13"/>
      <c r="HL414" s="13"/>
      <c r="HM414" s="13"/>
      <c r="HN414" s="13"/>
      <c r="HO414" s="13"/>
      <c r="HP414" s="13"/>
      <c r="HQ414" s="13"/>
      <c r="HR414" s="13"/>
      <c r="HS414" s="13"/>
      <c r="HT414" s="13"/>
      <c r="HU414" s="13"/>
      <c r="HV414" s="13"/>
      <c r="HW414" s="13"/>
      <c r="HX414" s="13"/>
      <c r="HY414" s="13"/>
      <c r="HZ414" s="13"/>
      <c r="IA414" s="13"/>
      <c r="IB414" s="13"/>
      <c r="IC414" s="13"/>
      <c r="ID414" s="13"/>
      <c r="IE414" s="13"/>
      <c r="IF414" s="13"/>
      <c r="IG414" s="13"/>
      <c r="IH414" s="13"/>
      <c r="II414" s="13"/>
      <c r="IJ414" s="13"/>
      <c r="IK414" s="13"/>
      <c r="IL414" s="13"/>
      <c r="IM414" s="13"/>
      <c r="IN414" s="13"/>
      <c r="IO414" s="13"/>
      <c r="IP414" s="13"/>
      <c r="IQ414" s="13"/>
      <c r="IR414" s="13"/>
      <c r="IS414" s="13"/>
      <c r="IT414" s="13"/>
      <c r="IU414" s="13"/>
      <c r="IV414" s="13"/>
    </row>
    <row r="415" spans="48:256"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X415" s="13"/>
      <c r="CY415" s="13"/>
      <c r="CZ415" s="13"/>
      <c r="DA415" s="13"/>
      <c r="DB415" s="13"/>
      <c r="DC415" s="13"/>
      <c r="DD415" s="13"/>
      <c r="DE415" s="13"/>
      <c r="DF415" s="13"/>
      <c r="DG415" s="13"/>
      <c r="DH415" s="13"/>
      <c r="DI415" s="13"/>
      <c r="DJ415" s="13"/>
      <c r="DK415" s="13"/>
      <c r="DL415" s="13"/>
      <c r="DM415" s="13"/>
      <c r="DN415" s="13"/>
      <c r="DO415" s="13"/>
      <c r="DP415" s="13"/>
      <c r="DQ415" s="13"/>
      <c r="DR415" s="13"/>
      <c r="DS415" s="13"/>
      <c r="DT415" s="13"/>
      <c r="DU415" s="13"/>
      <c r="DV415" s="13"/>
      <c r="DW415" s="13"/>
      <c r="DX415" s="13"/>
      <c r="DY415" s="13"/>
      <c r="DZ415" s="13"/>
      <c r="EA415" s="13"/>
      <c r="EB415" s="13"/>
      <c r="EC415" s="13"/>
      <c r="ED415" s="13"/>
      <c r="EE415" s="13"/>
      <c r="EF415" s="13"/>
      <c r="EG415" s="13"/>
      <c r="EH415" s="13"/>
      <c r="EI415" s="13"/>
      <c r="EJ415" s="13"/>
      <c r="EK415" s="13"/>
      <c r="EL415" s="13"/>
      <c r="EM415" s="13"/>
      <c r="EN415" s="13"/>
      <c r="EO415" s="13"/>
      <c r="EP415" s="13"/>
      <c r="EQ415" s="13"/>
      <c r="ER415" s="13"/>
      <c r="ES415" s="13"/>
      <c r="ET415" s="13"/>
      <c r="EU415" s="13"/>
      <c r="EV415" s="13"/>
      <c r="EW415" s="13"/>
      <c r="EX415" s="13"/>
      <c r="EY415" s="13"/>
      <c r="EZ415" s="13"/>
      <c r="FA415" s="13"/>
      <c r="FB415" s="13"/>
      <c r="FC415" s="13"/>
      <c r="FD415" s="13"/>
      <c r="FE415" s="13"/>
      <c r="FF415" s="13"/>
      <c r="FG415" s="13"/>
      <c r="FH415" s="13"/>
      <c r="FI415" s="13"/>
      <c r="FJ415" s="13"/>
      <c r="FK415" s="13"/>
      <c r="FL415" s="13"/>
      <c r="FM415" s="13"/>
      <c r="FN415" s="13"/>
      <c r="FO415" s="13"/>
      <c r="FP415" s="13"/>
      <c r="FQ415" s="13"/>
      <c r="FR415" s="13"/>
      <c r="FS415" s="13"/>
      <c r="FT415" s="13"/>
      <c r="FU415" s="13"/>
      <c r="FV415" s="13"/>
      <c r="FW415" s="13"/>
      <c r="FX415" s="13"/>
      <c r="FY415" s="13"/>
      <c r="FZ415" s="13"/>
      <c r="GA415" s="13"/>
      <c r="GB415" s="13"/>
      <c r="GC415" s="13"/>
      <c r="GD415" s="13"/>
      <c r="GE415" s="13"/>
      <c r="GF415" s="13"/>
      <c r="GG415" s="13"/>
      <c r="GH415" s="13"/>
      <c r="GI415" s="13"/>
      <c r="GJ415" s="13"/>
      <c r="GK415" s="13"/>
      <c r="GL415" s="13"/>
      <c r="GM415" s="13"/>
      <c r="GN415" s="13"/>
      <c r="GO415" s="13"/>
      <c r="GP415" s="13"/>
      <c r="GQ415" s="13"/>
      <c r="GR415" s="13"/>
      <c r="GS415" s="13"/>
      <c r="GT415" s="13"/>
      <c r="GU415" s="13"/>
      <c r="GV415" s="13"/>
      <c r="GW415" s="13"/>
      <c r="GX415" s="13"/>
      <c r="GY415" s="13"/>
      <c r="GZ415" s="13"/>
      <c r="HA415" s="13"/>
      <c r="HB415" s="13"/>
      <c r="HC415" s="13"/>
      <c r="HD415" s="13"/>
      <c r="HE415" s="13"/>
      <c r="HF415" s="13"/>
      <c r="HG415" s="13"/>
      <c r="HH415" s="13"/>
      <c r="HI415" s="13"/>
      <c r="HJ415" s="13"/>
      <c r="HK415" s="13"/>
      <c r="HL415" s="13"/>
      <c r="HM415" s="13"/>
      <c r="HN415" s="13"/>
      <c r="HO415" s="13"/>
      <c r="HP415" s="13"/>
      <c r="HQ415" s="13"/>
      <c r="HR415" s="13"/>
      <c r="HS415" s="13"/>
      <c r="HT415" s="13"/>
      <c r="HU415" s="13"/>
      <c r="HV415" s="13"/>
      <c r="HW415" s="13"/>
      <c r="HX415" s="13"/>
      <c r="HY415" s="13"/>
      <c r="HZ415" s="13"/>
      <c r="IA415" s="13"/>
      <c r="IB415" s="13"/>
      <c r="IC415" s="13"/>
      <c r="ID415" s="13"/>
      <c r="IE415" s="13"/>
      <c r="IF415" s="13"/>
      <c r="IG415" s="13"/>
      <c r="IH415" s="13"/>
      <c r="II415" s="13"/>
      <c r="IJ415" s="13"/>
      <c r="IK415" s="13"/>
      <c r="IL415" s="13"/>
      <c r="IM415" s="13"/>
      <c r="IN415" s="13"/>
      <c r="IO415" s="13"/>
      <c r="IP415" s="13"/>
      <c r="IQ415" s="13"/>
      <c r="IR415" s="13"/>
      <c r="IS415" s="13"/>
      <c r="IT415" s="13"/>
      <c r="IU415" s="13"/>
      <c r="IV415" s="13"/>
    </row>
    <row r="416" spans="48:256"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X416" s="13"/>
      <c r="CY416" s="13"/>
      <c r="CZ416" s="13"/>
      <c r="DA416" s="13"/>
      <c r="DB416" s="13"/>
      <c r="DC416" s="13"/>
      <c r="DD416" s="13"/>
      <c r="DE416" s="13"/>
      <c r="DF416" s="13"/>
      <c r="DG416" s="13"/>
      <c r="DH416" s="13"/>
      <c r="DI416" s="13"/>
      <c r="DJ416" s="13"/>
      <c r="DK416" s="13"/>
      <c r="DL416" s="13"/>
      <c r="DM416" s="13"/>
      <c r="DN416" s="13"/>
      <c r="DO416" s="13"/>
      <c r="DP416" s="13"/>
      <c r="DQ416" s="13"/>
      <c r="DR416" s="13"/>
      <c r="DS416" s="13"/>
      <c r="DT416" s="13"/>
      <c r="DU416" s="13"/>
      <c r="DV416" s="13"/>
      <c r="DW416" s="13"/>
      <c r="DX416" s="13"/>
      <c r="DY416" s="13"/>
      <c r="DZ416" s="13"/>
      <c r="EA416" s="13"/>
      <c r="EB416" s="13"/>
      <c r="EC416" s="13"/>
      <c r="ED416" s="13"/>
      <c r="EE416" s="13"/>
      <c r="EF416" s="13"/>
      <c r="EG416" s="13"/>
      <c r="EH416" s="13"/>
      <c r="EI416" s="13"/>
      <c r="EJ416" s="13"/>
      <c r="EK416" s="13"/>
      <c r="EL416" s="13"/>
      <c r="EM416" s="13"/>
      <c r="EN416" s="13"/>
      <c r="EO416" s="13"/>
      <c r="EP416" s="13"/>
      <c r="EQ416" s="13"/>
      <c r="ER416" s="13"/>
      <c r="ES416" s="13"/>
      <c r="ET416" s="13"/>
      <c r="EU416" s="13"/>
      <c r="EV416" s="13"/>
      <c r="EW416" s="13"/>
      <c r="EX416" s="13"/>
      <c r="EY416" s="13"/>
      <c r="EZ416" s="13"/>
      <c r="FA416" s="13"/>
      <c r="FB416" s="13"/>
      <c r="FC416" s="13"/>
      <c r="FD416" s="13"/>
      <c r="FE416" s="13"/>
      <c r="FF416" s="13"/>
      <c r="FG416" s="13"/>
      <c r="FH416" s="13"/>
      <c r="FI416" s="13"/>
      <c r="FJ416" s="13"/>
      <c r="FK416" s="13"/>
      <c r="FL416" s="13"/>
      <c r="FM416" s="13"/>
      <c r="FN416" s="13"/>
      <c r="FO416" s="13"/>
      <c r="FP416" s="13"/>
      <c r="FQ416" s="13"/>
      <c r="FR416" s="13"/>
      <c r="FS416" s="13"/>
      <c r="FT416" s="13"/>
      <c r="FU416" s="13"/>
      <c r="FV416" s="13"/>
      <c r="FW416" s="13"/>
      <c r="FX416" s="13"/>
      <c r="FY416" s="13"/>
      <c r="FZ416" s="13"/>
      <c r="GA416" s="13"/>
      <c r="GB416" s="13"/>
      <c r="GC416" s="13"/>
      <c r="GD416" s="13"/>
      <c r="GE416" s="13"/>
      <c r="GF416" s="13"/>
      <c r="GG416" s="13"/>
      <c r="GH416" s="13"/>
      <c r="GI416" s="13"/>
      <c r="GJ416" s="13"/>
      <c r="GK416" s="13"/>
      <c r="GL416" s="13"/>
      <c r="GM416" s="13"/>
      <c r="GN416" s="13"/>
      <c r="GO416" s="13"/>
      <c r="GP416" s="13"/>
      <c r="GQ416" s="13"/>
      <c r="GR416" s="13"/>
      <c r="GS416" s="13"/>
      <c r="GT416" s="13"/>
      <c r="GU416" s="13"/>
      <c r="GV416" s="13"/>
      <c r="GW416" s="13"/>
      <c r="GX416" s="13"/>
      <c r="GY416" s="13"/>
      <c r="GZ416" s="13"/>
      <c r="HA416" s="13"/>
      <c r="HB416" s="13"/>
      <c r="HC416" s="13"/>
      <c r="HD416" s="13"/>
      <c r="HE416" s="13"/>
      <c r="HF416" s="13"/>
      <c r="HG416" s="13"/>
      <c r="HH416" s="13"/>
      <c r="HI416" s="13"/>
      <c r="HJ416" s="13"/>
      <c r="HK416" s="13"/>
      <c r="HL416" s="13"/>
      <c r="HM416" s="13"/>
      <c r="HN416" s="13"/>
      <c r="HO416" s="13"/>
      <c r="HP416" s="13"/>
      <c r="HQ416" s="13"/>
      <c r="HR416" s="13"/>
      <c r="HS416" s="13"/>
      <c r="HT416" s="13"/>
      <c r="HU416" s="13"/>
      <c r="HV416" s="13"/>
      <c r="HW416" s="13"/>
      <c r="HX416" s="13"/>
      <c r="HY416" s="13"/>
      <c r="HZ416" s="13"/>
      <c r="IA416" s="13"/>
      <c r="IB416" s="13"/>
      <c r="IC416" s="13"/>
      <c r="ID416" s="13"/>
      <c r="IE416" s="13"/>
      <c r="IF416" s="13"/>
      <c r="IG416" s="13"/>
      <c r="IH416" s="13"/>
      <c r="II416" s="13"/>
      <c r="IJ416" s="13"/>
      <c r="IK416" s="13"/>
      <c r="IL416" s="13"/>
      <c r="IM416" s="13"/>
      <c r="IN416" s="13"/>
      <c r="IO416" s="13"/>
      <c r="IP416" s="13"/>
      <c r="IQ416" s="13"/>
      <c r="IR416" s="13"/>
      <c r="IS416" s="13"/>
      <c r="IT416" s="13"/>
      <c r="IU416" s="13"/>
      <c r="IV416" s="13"/>
    </row>
    <row r="417" spans="48:256"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CY417" s="13"/>
      <c r="CZ417" s="13"/>
      <c r="DA417" s="13"/>
      <c r="DB417" s="13"/>
      <c r="DC417" s="13"/>
      <c r="DD417" s="13"/>
      <c r="DE417" s="13"/>
      <c r="DF417" s="13"/>
      <c r="DG417" s="13"/>
      <c r="DH417" s="13"/>
      <c r="DI417" s="13"/>
      <c r="DJ417" s="13"/>
      <c r="DK417" s="13"/>
      <c r="DL417" s="13"/>
      <c r="DM417" s="13"/>
      <c r="DN417" s="13"/>
      <c r="DO417" s="13"/>
      <c r="DP417" s="13"/>
      <c r="DQ417" s="13"/>
      <c r="DR417" s="13"/>
      <c r="DS417" s="13"/>
      <c r="DT417" s="13"/>
      <c r="DU417" s="13"/>
      <c r="DV417" s="13"/>
      <c r="DW417" s="13"/>
      <c r="DX417" s="13"/>
      <c r="DY417" s="13"/>
      <c r="DZ417" s="13"/>
      <c r="EA417" s="13"/>
      <c r="EB417" s="13"/>
      <c r="EC417" s="13"/>
      <c r="ED417" s="13"/>
      <c r="EE417" s="13"/>
      <c r="EF417" s="13"/>
      <c r="EG417" s="13"/>
      <c r="EH417" s="13"/>
      <c r="EI417" s="13"/>
      <c r="EJ417" s="13"/>
      <c r="EK417" s="13"/>
      <c r="EL417" s="13"/>
      <c r="EM417" s="13"/>
      <c r="EN417" s="13"/>
      <c r="EO417" s="13"/>
      <c r="EP417" s="13"/>
      <c r="EQ417" s="13"/>
      <c r="ER417" s="13"/>
      <c r="ES417" s="13"/>
      <c r="ET417" s="13"/>
      <c r="EU417" s="13"/>
      <c r="EV417" s="13"/>
      <c r="EW417" s="13"/>
      <c r="EX417" s="13"/>
      <c r="EY417" s="13"/>
      <c r="EZ417" s="13"/>
      <c r="FA417" s="13"/>
      <c r="FB417" s="13"/>
      <c r="FC417" s="13"/>
      <c r="FD417" s="13"/>
      <c r="FE417" s="13"/>
      <c r="FF417" s="13"/>
      <c r="FG417" s="13"/>
      <c r="FH417" s="13"/>
      <c r="FI417" s="13"/>
      <c r="FJ417" s="13"/>
      <c r="FK417" s="13"/>
      <c r="FL417" s="13"/>
      <c r="FM417" s="13"/>
      <c r="FN417" s="13"/>
      <c r="FO417" s="13"/>
      <c r="FP417" s="13"/>
      <c r="FQ417" s="13"/>
      <c r="FR417" s="13"/>
      <c r="FS417" s="13"/>
      <c r="FT417" s="13"/>
      <c r="FU417" s="13"/>
      <c r="FV417" s="13"/>
      <c r="FW417" s="13"/>
      <c r="FX417" s="13"/>
      <c r="FY417" s="13"/>
      <c r="FZ417" s="13"/>
      <c r="GA417" s="13"/>
      <c r="GB417" s="13"/>
      <c r="GC417" s="13"/>
      <c r="GD417" s="13"/>
      <c r="GE417" s="13"/>
      <c r="GF417" s="13"/>
      <c r="GG417" s="13"/>
      <c r="GH417" s="13"/>
      <c r="GI417" s="13"/>
      <c r="GJ417" s="13"/>
      <c r="GK417" s="13"/>
      <c r="GL417" s="13"/>
      <c r="GM417" s="13"/>
      <c r="GN417" s="13"/>
      <c r="GO417" s="13"/>
      <c r="GP417" s="13"/>
      <c r="GQ417" s="13"/>
      <c r="GR417" s="13"/>
      <c r="GS417" s="13"/>
      <c r="GT417" s="13"/>
      <c r="GU417" s="13"/>
      <c r="GV417" s="13"/>
      <c r="GW417" s="13"/>
      <c r="GX417" s="13"/>
      <c r="GY417" s="13"/>
      <c r="GZ417" s="13"/>
      <c r="HA417" s="13"/>
      <c r="HB417" s="13"/>
      <c r="HC417" s="13"/>
      <c r="HD417" s="13"/>
      <c r="HE417" s="13"/>
      <c r="HF417" s="13"/>
      <c r="HG417" s="13"/>
      <c r="HH417" s="13"/>
      <c r="HI417" s="13"/>
      <c r="HJ417" s="13"/>
      <c r="HK417" s="13"/>
      <c r="HL417" s="13"/>
      <c r="HM417" s="13"/>
      <c r="HN417" s="13"/>
      <c r="HO417" s="13"/>
      <c r="HP417" s="13"/>
      <c r="HQ417" s="13"/>
      <c r="HR417" s="13"/>
      <c r="HS417" s="13"/>
      <c r="HT417" s="13"/>
      <c r="HU417" s="13"/>
      <c r="HV417" s="13"/>
      <c r="HW417" s="13"/>
      <c r="HX417" s="13"/>
      <c r="HY417" s="13"/>
      <c r="HZ417" s="13"/>
      <c r="IA417" s="13"/>
      <c r="IB417" s="13"/>
      <c r="IC417" s="13"/>
      <c r="ID417" s="13"/>
      <c r="IE417" s="13"/>
      <c r="IF417" s="13"/>
      <c r="IG417" s="13"/>
      <c r="IH417" s="13"/>
      <c r="II417" s="13"/>
      <c r="IJ417" s="13"/>
      <c r="IK417" s="13"/>
      <c r="IL417" s="13"/>
      <c r="IM417" s="13"/>
      <c r="IN417" s="13"/>
      <c r="IO417" s="13"/>
      <c r="IP417" s="13"/>
      <c r="IQ417" s="13"/>
      <c r="IR417" s="13"/>
      <c r="IS417" s="13"/>
      <c r="IT417" s="13"/>
      <c r="IU417" s="13"/>
      <c r="IV417" s="13"/>
    </row>
    <row r="418" spans="48:256"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  <c r="CZ418" s="13"/>
      <c r="DA418" s="13"/>
      <c r="DB418" s="13"/>
      <c r="DC418" s="13"/>
      <c r="DD418" s="13"/>
      <c r="DE418" s="13"/>
      <c r="DF418" s="13"/>
      <c r="DG418" s="13"/>
      <c r="DH418" s="13"/>
      <c r="DI418" s="13"/>
      <c r="DJ418" s="13"/>
      <c r="DK418" s="13"/>
      <c r="DL418" s="13"/>
      <c r="DM418" s="13"/>
      <c r="DN418" s="13"/>
      <c r="DO418" s="13"/>
      <c r="DP418" s="13"/>
      <c r="DQ418" s="13"/>
      <c r="DR418" s="13"/>
      <c r="DS418" s="13"/>
      <c r="DT418" s="13"/>
      <c r="DU418" s="13"/>
      <c r="DV418" s="13"/>
      <c r="DW418" s="13"/>
      <c r="DX418" s="13"/>
      <c r="DY418" s="13"/>
      <c r="DZ418" s="13"/>
      <c r="EA418" s="13"/>
      <c r="EB418" s="13"/>
      <c r="EC418" s="13"/>
      <c r="ED418" s="13"/>
      <c r="EE418" s="13"/>
      <c r="EF418" s="13"/>
      <c r="EG418" s="13"/>
      <c r="EH418" s="13"/>
      <c r="EI418" s="13"/>
      <c r="EJ418" s="13"/>
      <c r="EK418" s="13"/>
      <c r="EL418" s="13"/>
      <c r="EM418" s="13"/>
      <c r="EN418" s="13"/>
      <c r="EO418" s="13"/>
      <c r="EP418" s="13"/>
      <c r="EQ418" s="13"/>
      <c r="ER418" s="13"/>
      <c r="ES418" s="13"/>
      <c r="ET418" s="13"/>
      <c r="EU418" s="13"/>
      <c r="EV418" s="13"/>
      <c r="EW418" s="13"/>
      <c r="EX418" s="13"/>
      <c r="EY418" s="13"/>
      <c r="EZ418" s="13"/>
      <c r="FA418" s="13"/>
      <c r="FB418" s="13"/>
      <c r="FC418" s="13"/>
      <c r="FD418" s="13"/>
      <c r="FE418" s="13"/>
      <c r="FF418" s="13"/>
      <c r="FG418" s="13"/>
      <c r="FH418" s="13"/>
      <c r="FI418" s="13"/>
      <c r="FJ418" s="13"/>
      <c r="FK418" s="13"/>
      <c r="FL418" s="13"/>
      <c r="FM418" s="13"/>
      <c r="FN418" s="13"/>
      <c r="FO418" s="13"/>
      <c r="FP418" s="13"/>
      <c r="FQ418" s="13"/>
      <c r="FR418" s="13"/>
      <c r="FS418" s="13"/>
      <c r="FT418" s="13"/>
      <c r="FU418" s="13"/>
      <c r="FV418" s="13"/>
      <c r="FW418" s="13"/>
      <c r="FX418" s="13"/>
      <c r="FY418" s="13"/>
      <c r="FZ418" s="13"/>
      <c r="GA418" s="13"/>
      <c r="GB418" s="13"/>
      <c r="GC418" s="13"/>
      <c r="GD418" s="13"/>
      <c r="GE418" s="13"/>
      <c r="GF418" s="13"/>
      <c r="GG418" s="13"/>
      <c r="GH418" s="13"/>
      <c r="GI418" s="13"/>
      <c r="GJ418" s="13"/>
      <c r="GK418" s="13"/>
      <c r="GL418" s="13"/>
      <c r="GM418" s="13"/>
      <c r="GN418" s="13"/>
      <c r="GO418" s="13"/>
      <c r="GP418" s="13"/>
      <c r="GQ418" s="13"/>
      <c r="GR418" s="13"/>
      <c r="GS418" s="13"/>
      <c r="GT418" s="13"/>
      <c r="GU418" s="13"/>
      <c r="GV418" s="13"/>
      <c r="GW418" s="13"/>
      <c r="GX418" s="13"/>
      <c r="GY418" s="13"/>
      <c r="GZ418" s="13"/>
      <c r="HA418" s="13"/>
      <c r="HB418" s="13"/>
      <c r="HC418" s="13"/>
      <c r="HD418" s="13"/>
      <c r="HE418" s="13"/>
      <c r="HF418" s="13"/>
      <c r="HG418" s="13"/>
      <c r="HH418" s="13"/>
      <c r="HI418" s="13"/>
      <c r="HJ418" s="13"/>
      <c r="HK418" s="13"/>
      <c r="HL418" s="13"/>
      <c r="HM418" s="13"/>
      <c r="HN418" s="13"/>
      <c r="HO418" s="13"/>
      <c r="HP418" s="13"/>
      <c r="HQ418" s="13"/>
      <c r="HR418" s="13"/>
      <c r="HS418" s="13"/>
      <c r="HT418" s="13"/>
      <c r="HU418" s="13"/>
      <c r="HV418" s="13"/>
      <c r="HW418" s="13"/>
      <c r="HX418" s="13"/>
      <c r="HY418" s="13"/>
      <c r="HZ418" s="13"/>
      <c r="IA418" s="13"/>
      <c r="IB418" s="13"/>
      <c r="IC418" s="13"/>
      <c r="ID418" s="13"/>
      <c r="IE418" s="13"/>
      <c r="IF418" s="13"/>
      <c r="IG418" s="13"/>
      <c r="IH418" s="13"/>
      <c r="II418" s="13"/>
      <c r="IJ418" s="13"/>
      <c r="IK418" s="13"/>
      <c r="IL418" s="13"/>
      <c r="IM418" s="13"/>
      <c r="IN418" s="13"/>
      <c r="IO418" s="13"/>
      <c r="IP418" s="13"/>
      <c r="IQ418" s="13"/>
      <c r="IR418" s="13"/>
      <c r="IS418" s="13"/>
      <c r="IT418" s="13"/>
      <c r="IU418" s="13"/>
      <c r="IV418" s="13"/>
    </row>
    <row r="419" spans="48:256"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  <c r="CZ419" s="13"/>
      <c r="DA419" s="13"/>
      <c r="DB419" s="13"/>
      <c r="DC419" s="13"/>
      <c r="DD419" s="13"/>
      <c r="DE419" s="13"/>
      <c r="DF419" s="13"/>
      <c r="DG419" s="13"/>
      <c r="DH419" s="13"/>
      <c r="DI419" s="13"/>
      <c r="DJ419" s="13"/>
      <c r="DK419" s="13"/>
      <c r="DL419" s="13"/>
      <c r="DM419" s="13"/>
      <c r="DN419" s="13"/>
      <c r="DO419" s="13"/>
      <c r="DP419" s="13"/>
      <c r="DQ419" s="13"/>
      <c r="DR419" s="13"/>
      <c r="DS419" s="13"/>
      <c r="DT419" s="13"/>
      <c r="DU419" s="13"/>
      <c r="DV419" s="13"/>
      <c r="DW419" s="13"/>
      <c r="DX419" s="13"/>
      <c r="DY419" s="13"/>
      <c r="DZ419" s="13"/>
      <c r="EA419" s="13"/>
      <c r="EB419" s="13"/>
      <c r="EC419" s="13"/>
      <c r="ED419" s="13"/>
      <c r="EE419" s="13"/>
      <c r="EF419" s="13"/>
      <c r="EG419" s="13"/>
      <c r="EH419" s="13"/>
      <c r="EI419" s="13"/>
      <c r="EJ419" s="13"/>
      <c r="EK419" s="13"/>
      <c r="EL419" s="13"/>
      <c r="EM419" s="13"/>
      <c r="EN419" s="13"/>
      <c r="EO419" s="13"/>
      <c r="EP419" s="13"/>
      <c r="EQ419" s="13"/>
      <c r="ER419" s="13"/>
      <c r="ES419" s="13"/>
      <c r="ET419" s="13"/>
      <c r="EU419" s="13"/>
      <c r="EV419" s="13"/>
      <c r="EW419" s="13"/>
      <c r="EX419" s="13"/>
      <c r="EY419" s="13"/>
      <c r="EZ419" s="13"/>
      <c r="FA419" s="13"/>
      <c r="FB419" s="13"/>
      <c r="FC419" s="13"/>
      <c r="FD419" s="13"/>
      <c r="FE419" s="13"/>
      <c r="FF419" s="13"/>
      <c r="FG419" s="13"/>
      <c r="FH419" s="13"/>
      <c r="FI419" s="13"/>
      <c r="FJ419" s="13"/>
      <c r="FK419" s="13"/>
      <c r="FL419" s="13"/>
      <c r="FM419" s="13"/>
      <c r="FN419" s="13"/>
      <c r="FO419" s="13"/>
      <c r="FP419" s="13"/>
      <c r="FQ419" s="13"/>
      <c r="FR419" s="13"/>
      <c r="FS419" s="13"/>
      <c r="FT419" s="13"/>
      <c r="FU419" s="13"/>
      <c r="FV419" s="13"/>
      <c r="FW419" s="13"/>
      <c r="FX419" s="13"/>
      <c r="FY419" s="13"/>
      <c r="FZ419" s="13"/>
      <c r="GA419" s="13"/>
      <c r="GB419" s="13"/>
      <c r="GC419" s="13"/>
      <c r="GD419" s="13"/>
      <c r="GE419" s="13"/>
      <c r="GF419" s="13"/>
      <c r="GG419" s="13"/>
      <c r="GH419" s="13"/>
      <c r="GI419" s="13"/>
      <c r="GJ419" s="13"/>
      <c r="GK419" s="13"/>
      <c r="GL419" s="13"/>
      <c r="GM419" s="13"/>
      <c r="GN419" s="13"/>
      <c r="GO419" s="13"/>
      <c r="GP419" s="13"/>
      <c r="GQ419" s="13"/>
      <c r="GR419" s="13"/>
      <c r="GS419" s="13"/>
      <c r="GT419" s="13"/>
      <c r="GU419" s="13"/>
      <c r="GV419" s="13"/>
      <c r="GW419" s="13"/>
      <c r="GX419" s="13"/>
      <c r="GY419" s="13"/>
      <c r="GZ419" s="13"/>
      <c r="HA419" s="13"/>
      <c r="HB419" s="13"/>
      <c r="HC419" s="13"/>
      <c r="HD419" s="13"/>
      <c r="HE419" s="13"/>
      <c r="HF419" s="13"/>
      <c r="HG419" s="13"/>
      <c r="HH419" s="13"/>
      <c r="HI419" s="13"/>
      <c r="HJ419" s="13"/>
      <c r="HK419" s="13"/>
      <c r="HL419" s="13"/>
      <c r="HM419" s="13"/>
      <c r="HN419" s="13"/>
      <c r="HO419" s="13"/>
      <c r="HP419" s="13"/>
      <c r="HQ419" s="13"/>
      <c r="HR419" s="13"/>
      <c r="HS419" s="13"/>
      <c r="HT419" s="13"/>
      <c r="HU419" s="13"/>
      <c r="HV419" s="13"/>
      <c r="HW419" s="13"/>
      <c r="HX419" s="13"/>
      <c r="HY419" s="13"/>
      <c r="HZ419" s="13"/>
      <c r="IA419" s="13"/>
      <c r="IB419" s="13"/>
      <c r="IC419" s="13"/>
      <c r="ID419" s="13"/>
      <c r="IE419" s="13"/>
      <c r="IF419" s="13"/>
      <c r="IG419" s="13"/>
      <c r="IH419" s="13"/>
      <c r="II419" s="13"/>
      <c r="IJ419" s="13"/>
      <c r="IK419" s="13"/>
      <c r="IL419" s="13"/>
      <c r="IM419" s="13"/>
      <c r="IN419" s="13"/>
      <c r="IO419" s="13"/>
      <c r="IP419" s="13"/>
      <c r="IQ419" s="13"/>
      <c r="IR419" s="13"/>
      <c r="IS419" s="13"/>
      <c r="IT419" s="13"/>
      <c r="IU419" s="13"/>
      <c r="IV419" s="13"/>
    </row>
    <row r="420" spans="48:256"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  <c r="CZ420" s="13"/>
      <c r="DA420" s="13"/>
      <c r="DB420" s="13"/>
      <c r="DC420" s="13"/>
      <c r="DD420" s="13"/>
      <c r="DE420" s="13"/>
      <c r="DF420" s="13"/>
      <c r="DG420" s="13"/>
      <c r="DH420" s="13"/>
      <c r="DI420" s="13"/>
      <c r="DJ420" s="13"/>
      <c r="DK420" s="13"/>
      <c r="DL420" s="13"/>
      <c r="DM420" s="13"/>
      <c r="DN420" s="13"/>
      <c r="DO420" s="13"/>
      <c r="DP420" s="13"/>
      <c r="DQ420" s="13"/>
      <c r="DR420" s="13"/>
      <c r="DS420" s="13"/>
      <c r="DT420" s="13"/>
      <c r="DU420" s="13"/>
      <c r="DV420" s="13"/>
      <c r="DW420" s="13"/>
      <c r="DX420" s="13"/>
      <c r="DY420" s="13"/>
      <c r="DZ420" s="13"/>
      <c r="EA420" s="13"/>
      <c r="EB420" s="13"/>
      <c r="EC420" s="13"/>
      <c r="ED420" s="13"/>
      <c r="EE420" s="13"/>
      <c r="EF420" s="13"/>
      <c r="EG420" s="13"/>
      <c r="EH420" s="13"/>
      <c r="EI420" s="13"/>
      <c r="EJ420" s="13"/>
      <c r="EK420" s="13"/>
      <c r="EL420" s="13"/>
      <c r="EM420" s="13"/>
      <c r="EN420" s="13"/>
      <c r="EO420" s="13"/>
      <c r="EP420" s="13"/>
      <c r="EQ420" s="13"/>
      <c r="ER420" s="13"/>
      <c r="ES420" s="13"/>
      <c r="ET420" s="13"/>
      <c r="EU420" s="13"/>
      <c r="EV420" s="13"/>
      <c r="EW420" s="13"/>
      <c r="EX420" s="13"/>
      <c r="EY420" s="13"/>
      <c r="EZ420" s="13"/>
      <c r="FA420" s="13"/>
      <c r="FB420" s="13"/>
      <c r="FC420" s="13"/>
      <c r="FD420" s="13"/>
      <c r="FE420" s="13"/>
      <c r="FF420" s="13"/>
      <c r="FG420" s="13"/>
      <c r="FH420" s="13"/>
      <c r="FI420" s="13"/>
      <c r="FJ420" s="13"/>
      <c r="FK420" s="13"/>
      <c r="FL420" s="13"/>
      <c r="FM420" s="13"/>
      <c r="FN420" s="13"/>
      <c r="FO420" s="13"/>
      <c r="FP420" s="13"/>
      <c r="FQ420" s="13"/>
      <c r="FR420" s="13"/>
      <c r="FS420" s="13"/>
      <c r="FT420" s="13"/>
      <c r="FU420" s="13"/>
      <c r="FV420" s="13"/>
      <c r="FW420" s="13"/>
      <c r="FX420" s="13"/>
      <c r="FY420" s="13"/>
      <c r="FZ420" s="13"/>
      <c r="GA420" s="13"/>
      <c r="GB420" s="13"/>
      <c r="GC420" s="13"/>
      <c r="GD420" s="13"/>
      <c r="GE420" s="13"/>
      <c r="GF420" s="13"/>
      <c r="GG420" s="13"/>
      <c r="GH420" s="13"/>
      <c r="GI420" s="13"/>
      <c r="GJ420" s="13"/>
      <c r="GK420" s="13"/>
      <c r="GL420" s="13"/>
      <c r="GM420" s="13"/>
      <c r="GN420" s="13"/>
      <c r="GO420" s="13"/>
      <c r="GP420" s="13"/>
      <c r="GQ420" s="13"/>
      <c r="GR420" s="13"/>
      <c r="GS420" s="13"/>
      <c r="GT420" s="13"/>
      <c r="GU420" s="13"/>
      <c r="GV420" s="13"/>
      <c r="GW420" s="13"/>
      <c r="GX420" s="13"/>
      <c r="GY420" s="13"/>
      <c r="GZ420" s="13"/>
      <c r="HA420" s="13"/>
      <c r="HB420" s="13"/>
      <c r="HC420" s="13"/>
      <c r="HD420" s="13"/>
      <c r="HE420" s="13"/>
      <c r="HF420" s="13"/>
      <c r="HG420" s="13"/>
      <c r="HH420" s="13"/>
      <c r="HI420" s="13"/>
      <c r="HJ420" s="13"/>
      <c r="HK420" s="13"/>
      <c r="HL420" s="13"/>
      <c r="HM420" s="13"/>
      <c r="HN420" s="13"/>
      <c r="HO420" s="13"/>
      <c r="HP420" s="13"/>
      <c r="HQ420" s="13"/>
      <c r="HR420" s="13"/>
      <c r="HS420" s="13"/>
      <c r="HT420" s="13"/>
      <c r="HU420" s="13"/>
      <c r="HV420" s="13"/>
      <c r="HW420" s="13"/>
      <c r="HX420" s="13"/>
      <c r="HY420" s="13"/>
      <c r="HZ420" s="13"/>
      <c r="IA420" s="13"/>
      <c r="IB420" s="13"/>
      <c r="IC420" s="13"/>
      <c r="ID420" s="13"/>
      <c r="IE420" s="13"/>
      <c r="IF420" s="13"/>
      <c r="IG420" s="13"/>
      <c r="IH420" s="13"/>
      <c r="II420" s="13"/>
      <c r="IJ420" s="13"/>
      <c r="IK420" s="13"/>
      <c r="IL420" s="13"/>
      <c r="IM420" s="13"/>
      <c r="IN420" s="13"/>
      <c r="IO420" s="13"/>
      <c r="IP420" s="13"/>
      <c r="IQ420" s="13"/>
      <c r="IR420" s="13"/>
      <c r="IS420" s="13"/>
      <c r="IT420" s="13"/>
      <c r="IU420" s="13"/>
      <c r="IV420" s="13"/>
    </row>
    <row r="421" spans="48:256"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  <c r="CZ421" s="13"/>
      <c r="DA421" s="13"/>
      <c r="DB421" s="13"/>
      <c r="DC421" s="13"/>
      <c r="DD421" s="13"/>
      <c r="DE421" s="13"/>
      <c r="DF421" s="13"/>
      <c r="DG421" s="13"/>
      <c r="DH421" s="13"/>
      <c r="DI421" s="13"/>
      <c r="DJ421" s="13"/>
      <c r="DK421" s="13"/>
      <c r="DL421" s="13"/>
      <c r="DM421" s="13"/>
      <c r="DN421" s="13"/>
      <c r="DO421" s="13"/>
      <c r="DP421" s="13"/>
      <c r="DQ421" s="13"/>
      <c r="DR421" s="13"/>
      <c r="DS421" s="13"/>
      <c r="DT421" s="13"/>
      <c r="DU421" s="13"/>
      <c r="DV421" s="13"/>
      <c r="DW421" s="13"/>
      <c r="DX421" s="13"/>
      <c r="DY421" s="13"/>
      <c r="DZ421" s="13"/>
      <c r="EA421" s="13"/>
      <c r="EB421" s="13"/>
      <c r="EC421" s="13"/>
      <c r="ED421" s="13"/>
      <c r="EE421" s="13"/>
      <c r="EF421" s="13"/>
      <c r="EG421" s="13"/>
      <c r="EH421" s="13"/>
      <c r="EI421" s="13"/>
      <c r="EJ421" s="13"/>
      <c r="EK421" s="13"/>
      <c r="EL421" s="13"/>
      <c r="EM421" s="13"/>
      <c r="EN421" s="13"/>
      <c r="EO421" s="13"/>
      <c r="EP421" s="13"/>
      <c r="EQ421" s="13"/>
      <c r="ER421" s="13"/>
      <c r="ES421" s="13"/>
      <c r="ET421" s="13"/>
      <c r="EU421" s="13"/>
      <c r="EV421" s="13"/>
      <c r="EW421" s="13"/>
      <c r="EX421" s="13"/>
      <c r="EY421" s="13"/>
      <c r="EZ421" s="13"/>
      <c r="FA421" s="13"/>
      <c r="FB421" s="13"/>
      <c r="FC421" s="13"/>
      <c r="FD421" s="13"/>
      <c r="FE421" s="13"/>
      <c r="FF421" s="13"/>
      <c r="FG421" s="13"/>
      <c r="FH421" s="13"/>
      <c r="FI421" s="13"/>
      <c r="FJ421" s="13"/>
      <c r="FK421" s="13"/>
      <c r="FL421" s="13"/>
      <c r="FM421" s="13"/>
      <c r="FN421" s="13"/>
      <c r="FO421" s="13"/>
      <c r="FP421" s="13"/>
      <c r="FQ421" s="13"/>
      <c r="FR421" s="13"/>
      <c r="FS421" s="13"/>
      <c r="FT421" s="13"/>
      <c r="FU421" s="13"/>
      <c r="FV421" s="13"/>
      <c r="FW421" s="13"/>
      <c r="FX421" s="13"/>
      <c r="FY421" s="13"/>
      <c r="FZ421" s="13"/>
      <c r="GA421" s="13"/>
      <c r="GB421" s="13"/>
      <c r="GC421" s="13"/>
      <c r="GD421" s="13"/>
      <c r="GE421" s="13"/>
      <c r="GF421" s="13"/>
      <c r="GG421" s="13"/>
      <c r="GH421" s="13"/>
      <c r="GI421" s="13"/>
      <c r="GJ421" s="13"/>
      <c r="GK421" s="13"/>
      <c r="GL421" s="13"/>
      <c r="GM421" s="13"/>
      <c r="GN421" s="13"/>
      <c r="GO421" s="13"/>
      <c r="GP421" s="13"/>
      <c r="GQ421" s="13"/>
      <c r="GR421" s="13"/>
      <c r="GS421" s="13"/>
      <c r="GT421" s="13"/>
      <c r="GU421" s="13"/>
      <c r="GV421" s="13"/>
      <c r="GW421" s="13"/>
      <c r="GX421" s="13"/>
      <c r="GY421" s="13"/>
      <c r="GZ421" s="13"/>
      <c r="HA421" s="13"/>
      <c r="HB421" s="13"/>
      <c r="HC421" s="13"/>
      <c r="HD421" s="13"/>
      <c r="HE421" s="13"/>
      <c r="HF421" s="13"/>
      <c r="HG421" s="13"/>
      <c r="HH421" s="13"/>
      <c r="HI421" s="13"/>
      <c r="HJ421" s="13"/>
      <c r="HK421" s="13"/>
      <c r="HL421" s="13"/>
      <c r="HM421" s="13"/>
      <c r="HN421" s="13"/>
      <c r="HO421" s="13"/>
      <c r="HP421" s="13"/>
      <c r="HQ421" s="13"/>
      <c r="HR421" s="13"/>
      <c r="HS421" s="13"/>
      <c r="HT421" s="13"/>
      <c r="HU421" s="13"/>
      <c r="HV421" s="13"/>
      <c r="HW421" s="13"/>
      <c r="HX421" s="13"/>
      <c r="HY421" s="13"/>
      <c r="HZ421" s="13"/>
      <c r="IA421" s="13"/>
      <c r="IB421" s="13"/>
      <c r="IC421" s="13"/>
      <c r="ID421" s="13"/>
      <c r="IE421" s="13"/>
      <c r="IF421" s="13"/>
      <c r="IG421" s="13"/>
      <c r="IH421" s="13"/>
      <c r="II421" s="13"/>
      <c r="IJ421" s="13"/>
      <c r="IK421" s="13"/>
      <c r="IL421" s="13"/>
      <c r="IM421" s="13"/>
      <c r="IN421" s="13"/>
      <c r="IO421" s="13"/>
      <c r="IP421" s="13"/>
      <c r="IQ421" s="13"/>
      <c r="IR421" s="13"/>
      <c r="IS421" s="13"/>
      <c r="IT421" s="13"/>
      <c r="IU421" s="13"/>
      <c r="IV421" s="13"/>
    </row>
    <row r="422" spans="48:256"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  <c r="CZ422" s="13"/>
      <c r="DA422" s="13"/>
      <c r="DB422" s="13"/>
      <c r="DC422" s="13"/>
      <c r="DD422" s="13"/>
      <c r="DE422" s="13"/>
      <c r="DF422" s="13"/>
      <c r="DG422" s="13"/>
      <c r="DH422" s="13"/>
      <c r="DI422" s="13"/>
      <c r="DJ422" s="13"/>
      <c r="DK422" s="13"/>
      <c r="DL422" s="13"/>
      <c r="DM422" s="13"/>
      <c r="DN422" s="13"/>
      <c r="DO422" s="13"/>
      <c r="DP422" s="13"/>
      <c r="DQ422" s="13"/>
      <c r="DR422" s="13"/>
      <c r="DS422" s="13"/>
      <c r="DT422" s="13"/>
      <c r="DU422" s="13"/>
      <c r="DV422" s="13"/>
      <c r="DW422" s="13"/>
      <c r="DX422" s="13"/>
      <c r="DY422" s="13"/>
      <c r="DZ422" s="13"/>
      <c r="EA422" s="13"/>
      <c r="EB422" s="13"/>
      <c r="EC422" s="13"/>
      <c r="ED422" s="13"/>
      <c r="EE422" s="13"/>
      <c r="EF422" s="13"/>
      <c r="EG422" s="13"/>
      <c r="EH422" s="13"/>
      <c r="EI422" s="13"/>
      <c r="EJ422" s="13"/>
      <c r="EK422" s="13"/>
      <c r="EL422" s="13"/>
      <c r="EM422" s="13"/>
      <c r="EN422" s="13"/>
      <c r="EO422" s="13"/>
      <c r="EP422" s="13"/>
      <c r="EQ422" s="13"/>
      <c r="ER422" s="13"/>
      <c r="ES422" s="13"/>
      <c r="ET422" s="13"/>
      <c r="EU422" s="13"/>
      <c r="EV422" s="13"/>
      <c r="EW422" s="13"/>
      <c r="EX422" s="13"/>
      <c r="EY422" s="13"/>
      <c r="EZ422" s="13"/>
      <c r="FA422" s="13"/>
      <c r="FB422" s="13"/>
      <c r="FC422" s="13"/>
      <c r="FD422" s="13"/>
      <c r="FE422" s="13"/>
      <c r="FF422" s="13"/>
      <c r="FG422" s="13"/>
      <c r="FH422" s="13"/>
      <c r="FI422" s="13"/>
      <c r="FJ422" s="13"/>
      <c r="FK422" s="13"/>
      <c r="FL422" s="13"/>
      <c r="FM422" s="13"/>
      <c r="FN422" s="13"/>
      <c r="FO422" s="13"/>
      <c r="FP422" s="13"/>
      <c r="FQ422" s="13"/>
      <c r="FR422" s="13"/>
      <c r="FS422" s="13"/>
      <c r="FT422" s="13"/>
      <c r="FU422" s="13"/>
      <c r="FV422" s="13"/>
      <c r="FW422" s="13"/>
      <c r="FX422" s="13"/>
      <c r="FY422" s="13"/>
      <c r="FZ422" s="13"/>
      <c r="GA422" s="13"/>
      <c r="GB422" s="13"/>
      <c r="GC422" s="13"/>
      <c r="GD422" s="13"/>
      <c r="GE422" s="13"/>
      <c r="GF422" s="13"/>
      <c r="GG422" s="13"/>
      <c r="GH422" s="13"/>
      <c r="GI422" s="13"/>
      <c r="GJ422" s="13"/>
      <c r="GK422" s="13"/>
      <c r="GL422" s="13"/>
      <c r="GM422" s="13"/>
      <c r="GN422" s="13"/>
      <c r="GO422" s="13"/>
      <c r="GP422" s="13"/>
      <c r="GQ422" s="13"/>
      <c r="GR422" s="13"/>
      <c r="GS422" s="13"/>
      <c r="GT422" s="13"/>
      <c r="GU422" s="13"/>
      <c r="GV422" s="13"/>
      <c r="GW422" s="13"/>
      <c r="GX422" s="13"/>
      <c r="GY422" s="13"/>
      <c r="GZ422" s="13"/>
      <c r="HA422" s="13"/>
      <c r="HB422" s="13"/>
      <c r="HC422" s="13"/>
      <c r="HD422" s="13"/>
      <c r="HE422" s="13"/>
      <c r="HF422" s="13"/>
      <c r="HG422" s="13"/>
      <c r="HH422" s="13"/>
      <c r="HI422" s="13"/>
      <c r="HJ422" s="13"/>
      <c r="HK422" s="13"/>
      <c r="HL422" s="13"/>
      <c r="HM422" s="13"/>
      <c r="HN422" s="13"/>
      <c r="HO422" s="13"/>
      <c r="HP422" s="13"/>
      <c r="HQ422" s="13"/>
      <c r="HR422" s="13"/>
      <c r="HS422" s="13"/>
      <c r="HT422" s="13"/>
      <c r="HU422" s="13"/>
      <c r="HV422" s="13"/>
      <c r="HW422" s="13"/>
      <c r="HX422" s="13"/>
      <c r="HY422" s="13"/>
      <c r="HZ422" s="13"/>
      <c r="IA422" s="13"/>
      <c r="IB422" s="13"/>
      <c r="IC422" s="13"/>
      <c r="ID422" s="13"/>
      <c r="IE422" s="13"/>
      <c r="IF422" s="13"/>
      <c r="IG422" s="13"/>
      <c r="IH422" s="13"/>
      <c r="II422" s="13"/>
      <c r="IJ422" s="13"/>
      <c r="IK422" s="13"/>
      <c r="IL422" s="13"/>
      <c r="IM422" s="13"/>
      <c r="IN422" s="13"/>
      <c r="IO422" s="13"/>
      <c r="IP422" s="13"/>
      <c r="IQ422" s="13"/>
      <c r="IR422" s="13"/>
      <c r="IS422" s="13"/>
      <c r="IT422" s="13"/>
      <c r="IU422" s="13"/>
      <c r="IV422" s="13"/>
    </row>
    <row r="423" spans="48:256"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Y423" s="13"/>
      <c r="CZ423" s="13"/>
      <c r="DA423" s="13"/>
      <c r="DB423" s="13"/>
      <c r="DC423" s="13"/>
      <c r="DD423" s="13"/>
      <c r="DE423" s="13"/>
      <c r="DF423" s="13"/>
      <c r="DG423" s="13"/>
      <c r="DH423" s="13"/>
      <c r="DI423" s="13"/>
      <c r="DJ423" s="13"/>
      <c r="DK423" s="13"/>
      <c r="DL423" s="13"/>
      <c r="DM423" s="13"/>
      <c r="DN423" s="13"/>
      <c r="DO423" s="13"/>
      <c r="DP423" s="13"/>
      <c r="DQ423" s="13"/>
      <c r="DR423" s="13"/>
      <c r="DS423" s="13"/>
      <c r="DT423" s="13"/>
      <c r="DU423" s="13"/>
      <c r="DV423" s="13"/>
      <c r="DW423" s="13"/>
      <c r="DX423" s="13"/>
      <c r="DY423" s="13"/>
      <c r="DZ423" s="13"/>
      <c r="EA423" s="13"/>
      <c r="EB423" s="13"/>
      <c r="EC423" s="13"/>
      <c r="ED423" s="13"/>
      <c r="EE423" s="13"/>
      <c r="EF423" s="13"/>
      <c r="EG423" s="13"/>
      <c r="EH423" s="13"/>
      <c r="EI423" s="13"/>
      <c r="EJ423" s="13"/>
      <c r="EK423" s="13"/>
      <c r="EL423" s="13"/>
      <c r="EM423" s="13"/>
      <c r="EN423" s="13"/>
      <c r="EO423" s="13"/>
      <c r="EP423" s="13"/>
      <c r="EQ423" s="13"/>
      <c r="ER423" s="13"/>
      <c r="ES423" s="13"/>
      <c r="ET423" s="13"/>
      <c r="EU423" s="13"/>
      <c r="EV423" s="13"/>
      <c r="EW423" s="13"/>
      <c r="EX423" s="13"/>
      <c r="EY423" s="13"/>
      <c r="EZ423" s="13"/>
      <c r="FA423" s="13"/>
      <c r="FB423" s="13"/>
      <c r="FC423" s="13"/>
      <c r="FD423" s="13"/>
      <c r="FE423" s="13"/>
      <c r="FF423" s="13"/>
      <c r="FG423" s="13"/>
      <c r="FH423" s="13"/>
      <c r="FI423" s="13"/>
      <c r="FJ423" s="13"/>
      <c r="FK423" s="13"/>
      <c r="FL423" s="13"/>
      <c r="FM423" s="13"/>
      <c r="FN423" s="13"/>
      <c r="FO423" s="13"/>
      <c r="FP423" s="13"/>
      <c r="FQ423" s="13"/>
      <c r="FR423" s="13"/>
      <c r="FS423" s="13"/>
      <c r="FT423" s="13"/>
      <c r="FU423" s="13"/>
      <c r="FV423" s="13"/>
      <c r="FW423" s="13"/>
      <c r="FX423" s="13"/>
      <c r="FY423" s="13"/>
      <c r="FZ423" s="13"/>
      <c r="GA423" s="13"/>
      <c r="GB423" s="13"/>
      <c r="GC423" s="13"/>
      <c r="GD423" s="13"/>
      <c r="GE423" s="13"/>
      <c r="GF423" s="13"/>
      <c r="GG423" s="13"/>
      <c r="GH423" s="13"/>
      <c r="GI423" s="13"/>
      <c r="GJ423" s="13"/>
      <c r="GK423" s="13"/>
      <c r="GL423" s="13"/>
      <c r="GM423" s="13"/>
      <c r="GN423" s="13"/>
      <c r="GO423" s="13"/>
      <c r="GP423" s="13"/>
      <c r="GQ423" s="13"/>
      <c r="GR423" s="13"/>
      <c r="GS423" s="13"/>
      <c r="GT423" s="13"/>
      <c r="GU423" s="13"/>
      <c r="GV423" s="13"/>
      <c r="GW423" s="13"/>
      <c r="GX423" s="13"/>
      <c r="GY423" s="13"/>
      <c r="GZ423" s="13"/>
      <c r="HA423" s="13"/>
      <c r="HB423" s="13"/>
      <c r="HC423" s="13"/>
      <c r="HD423" s="13"/>
      <c r="HE423" s="13"/>
      <c r="HF423" s="13"/>
      <c r="HG423" s="13"/>
      <c r="HH423" s="13"/>
      <c r="HI423" s="13"/>
      <c r="HJ423" s="13"/>
      <c r="HK423" s="13"/>
      <c r="HL423" s="13"/>
      <c r="HM423" s="13"/>
      <c r="HN423" s="13"/>
      <c r="HO423" s="13"/>
      <c r="HP423" s="13"/>
      <c r="HQ423" s="13"/>
      <c r="HR423" s="13"/>
      <c r="HS423" s="13"/>
      <c r="HT423" s="13"/>
      <c r="HU423" s="13"/>
      <c r="HV423" s="13"/>
      <c r="HW423" s="13"/>
      <c r="HX423" s="13"/>
      <c r="HY423" s="13"/>
      <c r="HZ423" s="13"/>
      <c r="IA423" s="13"/>
      <c r="IB423" s="13"/>
      <c r="IC423" s="13"/>
      <c r="ID423" s="13"/>
      <c r="IE423" s="13"/>
      <c r="IF423" s="13"/>
      <c r="IG423" s="13"/>
      <c r="IH423" s="13"/>
      <c r="II423" s="13"/>
      <c r="IJ423" s="13"/>
      <c r="IK423" s="13"/>
      <c r="IL423" s="13"/>
      <c r="IM423" s="13"/>
      <c r="IN423" s="13"/>
      <c r="IO423" s="13"/>
      <c r="IP423" s="13"/>
      <c r="IQ423" s="13"/>
      <c r="IR423" s="13"/>
      <c r="IS423" s="13"/>
      <c r="IT423" s="13"/>
      <c r="IU423" s="13"/>
      <c r="IV423" s="13"/>
    </row>
    <row r="424" spans="48:256"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  <c r="CZ424" s="13"/>
      <c r="DA424" s="13"/>
      <c r="DB424" s="13"/>
      <c r="DC424" s="13"/>
      <c r="DD424" s="13"/>
      <c r="DE424" s="13"/>
      <c r="DF424" s="13"/>
      <c r="DG424" s="13"/>
      <c r="DH424" s="13"/>
      <c r="DI424" s="13"/>
      <c r="DJ424" s="13"/>
      <c r="DK424" s="13"/>
      <c r="DL424" s="13"/>
      <c r="DM424" s="13"/>
      <c r="DN424" s="13"/>
      <c r="DO424" s="13"/>
      <c r="DP424" s="13"/>
      <c r="DQ424" s="13"/>
      <c r="DR424" s="13"/>
      <c r="DS424" s="13"/>
      <c r="DT424" s="13"/>
      <c r="DU424" s="13"/>
      <c r="DV424" s="13"/>
      <c r="DW424" s="13"/>
      <c r="DX424" s="13"/>
      <c r="DY424" s="13"/>
      <c r="DZ424" s="13"/>
      <c r="EA424" s="13"/>
      <c r="EB424" s="13"/>
      <c r="EC424" s="13"/>
      <c r="ED424" s="13"/>
      <c r="EE424" s="13"/>
      <c r="EF424" s="13"/>
      <c r="EG424" s="13"/>
      <c r="EH424" s="13"/>
      <c r="EI424" s="13"/>
      <c r="EJ424" s="13"/>
      <c r="EK424" s="13"/>
      <c r="EL424" s="13"/>
      <c r="EM424" s="13"/>
      <c r="EN424" s="13"/>
      <c r="EO424" s="13"/>
      <c r="EP424" s="13"/>
      <c r="EQ424" s="13"/>
      <c r="ER424" s="13"/>
      <c r="ES424" s="13"/>
      <c r="ET424" s="13"/>
      <c r="EU424" s="13"/>
      <c r="EV424" s="13"/>
      <c r="EW424" s="13"/>
      <c r="EX424" s="13"/>
      <c r="EY424" s="13"/>
      <c r="EZ424" s="13"/>
      <c r="FA424" s="13"/>
      <c r="FB424" s="13"/>
      <c r="FC424" s="13"/>
      <c r="FD424" s="13"/>
      <c r="FE424" s="13"/>
      <c r="FF424" s="13"/>
      <c r="FG424" s="13"/>
      <c r="FH424" s="13"/>
      <c r="FI424" s="13"/>
      <c r="FJ424" s="13"/>
      <c r="FK424" s="13"/>
      <c r="FL424" s="13"/>
      <c r="FM424" s="13"/>
      <c r="FN424" s="13"/>
      <c r="FO424" s="13"/>
      <c r="FP424" s="13"/>
      <c r="FQ424" s="13"/>
      <c r="FR424" s="13"/>
      <c r="FS424" s="13"/>
      <c r="FT424" s="13"/>
      <c r="FU424" s="13"/>
      <c r="FV424" s="13"/>
      <c r="FW424" s="13"/>
      <c r="FX424" s="13"/>
      <c r="FY424" s="13"/>
      <c r="FZ424" s="13"/>
      <c r="GA424" s="13"/>
      <c r="GB424" s="13"/>
      <c r="GC424" s="13"/>
      <c r="GD424" s="13"/>
      <c r="GE424" s="13"/>
      <c r="GF424" s="13"/>
      <c r="GG424" s="13"/>
      <c r="GH424" s="13"/>
      <c r="GI424" s="13"/>
      <c r="GJ424" s="13"/>
      <c r="GK424" s="13"/>
      <c r="GL424" s="13"/>
      <c r="GM424" s="13"/>
      <c r="GN424" s="13"/>
      <c r="GO424" s="13"/>
      <c r="GP424" s="13"/>
      <c r="GQ424" s="13"/>
      <c r="GR424" s="13"/>
      <c r="GS424" s="13"/>
      <c r="GT424" s="13"/>
      <c r="GU424" s="13"/>
      <c r="GV424" s="13"/>
      <c r="GW424" s="13"/>
      <c r="GX424" s="13"/>
      <c r="GY424" s="13"/>
      <c r="GZ424" s="13"/>
      <c r="HA424" s="13"/>
      <c r="HB424" s="13"/>
      <c r="HC424" s="13"/>
      <c r="HD424" s="13"/>
      <c r="HE424" s="13"/>
      <c r="HF424" s="13"/>
      <c r="HG424" s="13"/>
      <c r="HH424" s="13"/>
      <c r="HI424" s="13"/>
      <c r="HJ424" s="13"/>
      <c r="HK424" s="13"/>
      <c r="HL424" s="13"/>
      <c r="HM424" s="13"/>
      <c r="HN424" s="13"/>
      <c r="HO424" s="13"/>
      <c r="HP424" s="13"/>
      <c r="HQ424" s="13"/>
      <c r="HR424" s="13"/>
      <c r="HS424" s="13"/>
      <c r="HT424" s="13"/>
      <c r="HU424" s="13"/>
      <c r="HV424" s="13"/>
      <c r="HW424" s="13"/>
      <c r="HX424" s="13"/>
      <c r="HY424" s="13"/>
      <c r="HZ424" s="13"/>
      <c r="IA424" s="13"/>
      <c r="IB424" s="13"/>
      <c r="IC424" s="13"/>
      <c r="ID424" s="13"/>
      <c r="IE424" s="13"/>
      <c r="IF424" s="13"/>
      <c r="IG424" s="13"/>
      <c r="IH424" s="13"/>
      <c r="II424" s="13"/>
      <c r="IJ424" s="13"/>
      <c r="IK424" s="13"/>
      <c r="IL424" s="13"/>
      <c r="IM424" s="13"/>
      <c r="IN424" s="13"/>
      <c r="IO424" s="13"/>
      <c r="IP424" s="13"/>
      <c r="IQ424" s="13"/>
      <c r="IR424" s="13"/>
      <c r="IS424" s="13"/>
      <c r="IT424" s="13"/>
      <c r="IU424" s="13"/>
      <c r="IV424" s="13"/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AR21"/>
  <sheetViews>
    <sheetView workbookViewId="0">
      <selection activeCell="F26" sqref="F26"/>
    </sheetView>
  </sheetViews>
  <sheetFormatPr defaultRowHeight="14.4"/>
  <cols>
    <col min="1" max="1" width="11.44140625" customWidth="1"/>
  </cols>
  <sheetData>
    <row r="1" spans="1:44" ht="15.6">
      <c r="A1" s="79">
        <v>42237</v>
      </c>
      <c r="B1" s="36" t="s">
        <v>132</v>
      </c>
      <c r="C1" s="37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9"/>
      <c r="S1" s="38"/>
      <c r="T1" s="38"/>
      <c r="U1" s="38"/>
      <c r="V1" s="38"/>
      <c r="W1" s="38"/>
      <c r="X1" s="39"/>
      <c r="Y1" s="39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9"/>
      <c r="AK1" s="39"/>
      <c r="AL1" s="38"/>
      <c r="AM1" s="38"/>
      <c r="AN1" s="38"/>
      <c r="AO1" s="38"/>
      <c r="AP1" s="40"/>
      <c r="AQ1" s="40"/>
      <c r="AR1" s="40"/>
    </row>
    <row r="2" spans="1:44" ht="15.6">
      <c r="A2" s="35" t="s">
        <v>79</v>
      </c>
      <c r="B2" s="36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9"/>
      <c r="S2" s="38"/>
      <c r="T2" s="38"/>
      <c r="U2" s="38"/>
      <c r="V2" s="38"/>
      <c r="W2" s="38"/>
      <c r="X2" s="39"/>
      <c r="Y2" s="39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9"/>
      <c r="AK2" s="39"/>
      <c r="AL2" s="38"/>
      <c r="AM2" s="38"/>
      <c r="AN2" s="38"/>
      <c r="AO2" s="38"/>
      <c r="AP2" s="40"/>
      <c r="AQ2" s="40"/>
      <c r="AR2" s="40"/>
    </row>
    <row r="3" spans="1:44" ht="15.6">
      <c r="A3" s="35" t="s">
        <v>80</v>
      </c>
      <c r="B3" s="36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9"/>
      <c r="S3" s="38"/>
      <c r="T3" s="38"/>
      <c r="U3" s="38"/>
      <c r="V3" s="38"/>
      <c r="W3" s="38"/>
      <c r="X3" s="39"/>
      <c r="Y3" s="39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9"/>
      <c r="AK3" s="39"/>
      <c r="AL3" s="38"/>
      <c r="AM3" s="38"/>
      <c r="AN3" s="38"/>
      <c r="AO3" s="38"/>
      <c r="AP3" s="40"/>
      <c r="AQ3" s="40"/>
      <c r="AR3" s="40"/>
    </row>
    <row r="4" spans="1:44" ht="15.6">
      <c r="A4" s="41"/>
      <c r="B4" s="36"/>
      <c r="C4" s="37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9"/>
      <c r="S4" s="38"/>
      <c r="T4" s="38"/>
      <c r="U4" s="38"/>
      <c r="V4" s="38"/>
      <c r="W4" s="38"/>
      <c r="X4" s="39"/>
      <c r="Y4" s="39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9"/>
      <c r="AK4" s="39"/>
      <c r="AL4" s="38"/>
      <c r="AM4" s="38"/>
      <c r="AN4" s="38"/>
      <c r="AO4" s="38"/>
      <c r="AP4" s="40"/>
      <c r="AQ4" s="40"/>
      <c r="AR4" s="40"/>
    </row>
    <row r="5" spans="1:44" ht="15.6">
      <c r="A5" s="41"/>
      <c r="B5" s="36"/>
      <c r="C5" s="37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9"/>
      <c r="S5" s="38"/>
      <c r="T5" s="38"/>
      <c r="U5" s="38"/>
      <c r="V5" s="38"/>
      <c r="W5" s="38"/>
      <c r="X5" s="39"/>
      <c r="Y5" s="39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9"/>
      <c r="AK5" s="39"/>
      <c r="AL5" s="38"/>
      <c r="AM5" s="38"/>
      <c r="AN5" s="38"/>
      <c r="AO5" s="38"/>
      <c r="AP5" s="40"/>
      <c r="AQ5" s="40"/>
      <c r="AR5" s="40"/>
    </row>
    <row r="6" spans="1:44" ht="15.6">
      <c r="A6" s="41"/>
      <c r="B6" s="36"/>
      <c r="C6" s="37"/>
      <c r="D6" s="37" t="s">
        <v>47</v>
      </c>
      <c r="E6" s="38"/>
      <c r="F6" s="38"/>
      <c r="G6" s="37" t="s">
        <v>48</v>
      </c>
      <c r="H6" s="38"/>
      <c r="I6" s="38"/>
      <c r="J6" s="38"/>
      <c r="K6" s="38"/>
      <c r="L6" s="38"/>
      <c r="M6" s="38"/>
      <c r="N6" s="38"/>
      <c r="O6" s="38"/>
      <c r="P6" s="38"/>
      <c r="Q6" s="38"/>
      <c r="R6" s="39"/>
      <c r="S6" s="38"/>
      <c r="T6" s="38"/>
      <c r="U6" s="38"/>
      <c r="V6" s="38"/>
      <c r="W6" s="38"/>
      <c r="X6" s="39"/>
      <c r="Y6" s="39"/>
      <c r="Z6" s="37" t="s">
        <v>44</v>
      </c>
      <c r="AA6" s="38"/>
      <c r="AB6" s="38"/>
      <c r="AC6" s="37" t="s">
        <v>48</v>
      </c>
      <c r="AD6" s="38"/>
      <c r="AE6" s="38"/>
      <c r="AF6" s="38"/>
      <c r="AG6" s="38"/>
      <c r="AH6" s="38"/>
      <c r="AI6" s="38"/>
      <c r="AJ6" s="39"/>
      <c r="AK6" s="39"/>
      <c r="AL6" s="38"/>
      <c r="AM6" s="38"/>
      <c r="AN6" s="38"/>
      <c r="AO6" s="38"/>
      <c r="AP6" s="40"/>
      <c r="AQ6" s="40"/>
      <c r="AR6" s="40"/>
    </row>
    <row r="7" spans="1:44" ht="15.6">
      <c r="A7" s="43" t="s">
        <v>49</v>
      </c>
      <c r="B7" s="36"/>
      <c r="C7" s="37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9"/>
      <c r="S7" s="38"/>
      <c r="T7" s="38"/>
      <c r="U7" s="38"/>
      <c r="V7" s="38"/>
      <c r="W7" s="38"/>
      <c r="X7" s="39"/>
      <c r="Y7" s="39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9"/>
      <c r="AK7" s="39"/>
      <c r="AL7" s="38"/>
      <c r="AM7" s="38"/>
      <c r="AN7" s="38"/>
      <c r="AO7" s="38"/>
      <c r="AP7" s="40"/>
      <c r="AQ7" s="40"/>
      <c r="AR7" s="40"/>
    </row>
    <row r="8" spans="1:44" ht="15.6">
      <c r="A8" s="41"/>
      <c r="B8" s="44" t="s">
        <v>81</v>
      </c>
      <c r="C8" s="42" t="s">
        <v>82</v>
      </c>
      <c r="D8" s="42" t="s">
        <v>83</v>
      </c>
      <c r="E8" s="42" t="s">
        <v>84</v>
      </c>
      <c r="F8" s="42" t="s">
        <v>85</v>
      </c>
      <c r="G8" s="42" t="s">
        <v>86</v>
      </c>
      <c r="H8" s="42" t="s">
        <v>87</v>
      </c>
      <c r="I8" s="42" t="s">
        <v>88</v>
      </c>
      <c r="J8" s="42" t="s">
        <v>89</v>
      </c>
      <c r="K8" s="42" t="s">
        <v>90</v>
      </c>
      <c r="L8" s="42" t="s">
        <v>91</v>
      </c>
      <c r="M8" s="42" t="s">
        <v>92</v>
      </c>
      <c r="N8" s="42" t="s">
        <v>93</v>
      </c>
      <c r="O8" s="42" t="s">
        <v>94</v>
      </c>
      <c r="P8" s="42" t="s">
        <v>95</v>
      </c>
      <c r="Q8" s="42" t="s">
        <v>96</v>
      </c>
      <c r="R8" s="45" t="s">
        <v>97</v>
      </c>
      <c r="S8" s="42" t="s">
        <v>98</v>
      </c>
      <c r="T8" s="42" t="s">
        <v>99</v>
      </c>
      <c r="U8" s="42" t="s">
        <v>100</v>
      </c>
      <c r="V8" s="42"/>
      <c r="W8" s="42" t="s">
        <v>50</v>
      </c>
      <c r="X8" s="45" t="s">
        <v>101</v>
      </c>
      <c r="Y8" s="45" t="s">
        <v>102</v>
      </c>
      <c r="Z8" s="42" t="s">
        <v>103</v>
      </c>
      <c r="AA8" s="42" t="s">
        <v>104</v>
      </c>
      <c r="AB8" s="42" t="s">
        <v>105</v>
      </c>
      <c r="AC8" s="42" t="s">
        <v>106</v>
      </c>
      <c r="AD8" s="42" t="s">
        <v>107</v>
      </c>
      <c r="AE8" s="42" t="s">
        <v>108</v>
      </c>
      <c r="AF8" s="42" t="s">
        <v>109</v>
      </c>
      <c r="AG8" s="42" t="s">
        <v>110</v>
      </c>
      <c r="AH8" s="42" t="s">
        <v>111</v>
      </c>
      <c r="AI8" s="42" t="s">
        <v>112</v>
      </c>
      <c r="AJ8" s="45" t="s">
        <v>113</v>
      </c>
      <c r="AK8" s="45" t="s">
        <v>114</v>
      </c>
      <c r="AL8" s="44" t="s">
        <v>115</v>
      </c>
      <c r="AM8" s="44" t="s">
        <v>116</v>
      </c>
      <c r="AN8" s="44" t="s">
        <v>117</v>
      </c>
      <c r="AO8" s="44" t="s">
        <v>118</v>
      </c>
      <c r="AP8" s="40"/>
      <c r="AQ8" s="40"/>
      <c r="AR8" s="40"/>
    </row>
    <row r="9" spans="1:44" ht="15.6">
      <c r="A9" s="41"/>
      <c r="B9" s="44"/>
      <c r="C9" s="42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9"/>
      <c r="S9" s="38"/>
      <c r="T9" s="38"/>
      <c r="U9" s="38"/>
      <c r="V9" s="38"/>
      <c r="W9" s="42" t="s">
        <v>50</v>
      </c>
      <c r="X9" s="45"/>
      <c r="Y9" s="45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9"/>
      <c r="AK9" s="39"/>
      <c r="AL9" s="38"/>
      <c r="AM9" s="38"/>
      <c r="AN9" s="38"/>
      <c r="AO9" s="38"/>
      <c r="AP9" s="38"/>
      <c r="AQ9" s="40"/>
      <c r="AR9" s="40"/>
    </row>
    <row r="10" spans="1:44" ht="15.6">
      <c r="A10" s="41"/>
      <c r="B10" s="44" t="s">
        <v>51</v>
      </c>
      <c r="C10" s="42" t="s">
        <v>52</v>
      </c>
      <c r="D10" s="42" t="s">
        <v>53</v>
      </c>
      <c r="E10" s="42" t="s">
        <v>54</v>
      </c>
      <c r="F10" s="42" t="s">
        <v>55</v>
      </c>
      <c r="G10" s="42" t="s">
        <v>56</v>
      </c>
      <c r="H10" s="42" t="s">
        <v>57</v>
      </c>
      <c r="I10" s="42" t="s">
        <v>58</v>
      </c>
      <c r="J10" s="42" t="s">
        <v>59</v>
      </c>
      <c r="K10" s="42" t="s">
        <v>60</v>
      </c>
      <c r="L10" s="42" t="s">
        <v>61</v>
      </c>
      <c r="M10" s="42" t="s">
        <v>62</v>
      </c>
      <c r="N10" s="42" t="s">
        <v>63</v>
      </c>
      <c r="O10" s="42" t="s">
        <v>64</v>
      </c>
      <c r="P10" s="42" t="s">
        <v>65</v>
      </c>
      <c r="Q10" s="42" t="s">
        <v>66</v>
      </c>
      <c r="R10" s="45" t="s">
        <v>67</v>
      </c>
      <c r="S10" s="42" t="s">
        <v>68</v>
      </c>
      <c r="T10" s="42" t="s">
        <v>69</v>
      </c>
      <c r="U10" s="42" t="s">
        <v>70</v>
      </c>
      <c r="V10" s="42" t="s">
        <v>71</v>
      </c>
      <c r="W10" s="42" t="s">
        <v>50</v>
      </c>
      <c r="X10" s="45" t="s">
        <v>51</v>
      </c>
      <c r="Y10" s="45" t="s">
        <v>52</v>
      </c>
      <c r="Z10" s="42" t="s">
        <v>53</v>
      </c>
      <c r="AA10" s="42" t="s">
        <v>54</v>
      </c>
      <c r="AB10" s="42" t="s">
        <v>55</v>
      </c>
      <c r="AC10" s="42" t="s">
        <v>56</v>
      </c>
      <c r="AD10" s="42" t="s">
        <v>57</v>
      </c>
      <c r="AE10" s="42" t="s">
        <v>58</v>
      </c>
      <c r="AF10" s="42" t="s">
        <v>59</v>
      </c>
      <c r="AG10" s="42" t="s">
        <v>60</v>
      </c>
      <c r="AH10" s="42" t="s">
        <v>61</v>
      </c>
      <c r="AI10" s="42" t="s">
        <v>62</v>
      </c>
      <c r="AJ10" s="45" t="s">
        <v>63</v>
      </c>
      <c r="AK10" s="45" t="s">
        <v>64</v>
      </c>
      <c r="AL10" s="44" t="s">
        <v>65</v>
      </c>
      <c r="AM10" s="44" t="s">
        <v>66</v>
      </c>
      <c r="AN10" s="38" t="s">
        <v>67</v>
      </c>
      <c r="AO10" s="38" t="s">
        <v>68</v>
      </c>
      <c r="AP10" s="38" t="s">
        <v>69</v>
      </c>
      <c r="AQ10" s="38" t="s">
        <v>70</v>
      </c>
      <c r="AR10" s="38" t="s">
        <v>71</v>
      </c>
    </row>
    <row r="11" spans="1:44" ht="15.6">
      <c r="A11" s="41"/>
      <c r="B11" s="57">
        <v>225</v>
      </c>
      <c r="C11" s="57">
        <v>275</v>
      </c>
      <c r="D11" s="57">
        <v>325</v>
      </c>
      <c r="E11" s="57">
        <v>375</v>
      </c>
      <c r="F11" s="57">
        <v>425</v>
      </c>
      <c r="G11" s="57">
        <v>475</v>
      </c>
      <c r="H11" s="57">
        <v>525</v>
      </c>
      <c r="I11" s="57">
        <v>575</v>
      </c>
      <c r="J11" s="57">
        <v>625</v>
      </c>
      <c r="K11" s="57">
        <v>675</v>
      </c>
      <c r="L11" s="57">
        <v>725</v>
      </c>
      <c r="M11" s="57">
        <v>775</v>
      </c>
      <c r="N11" s="57">
        <v>825</v>
      </c>
      <c r="O11" s="57">
        <v>875</v>
      </c>
      <c r="P11" s="57">
        <v>925</v>
      </c>
      <c r="Q11" s="57">
        <v>975</v>
      </c>
      <c r="R11" s="57">
        <v>1025</v>
      </c>
      <c r="S11" s="57">
        <v>1075</v>
      </c>
      <c r="T11" s="57">
        <v>1125</v>
      </c>
      <c r="U11" s="57">
        <v>1175</v>
      </c>
      <c r="V11" s="57">
        <v>1225</v>
      </c>
      <c r="W11" s="42"/>
      <c r="X11" s="45">
        <v>225</v>
      </c>
      <c r="Y11" s="45">
        <v>275</v>
      </c>
      <c r="Z11" s="42">
        <v>325</v>
      </c>
      <c r="AA11" s="42">
        <v>375</v>
      </c>
      <c r="AB11" s="42">
        <v>425</v>
      </c>
      <c r="AC11" s="42">
        <v>475</v>
      </c>
      <c r="AD11" s="42">
        <v>525</v>
      </c>
      <c r="AE11" s="42">
        <v>575</v>
      </c>
      <c r="AF11" s="42">
        <v>625</v>
      </c>
      <c r="AG11" s="42">
        <v>675</v>
      </c>
      <c r="AH11" s="42">
        <v>725</v>
      </c>
      <c r="AI11" s="42">
        <v>775</v>
      </c>
      <c r="AJ11" s="45">
        <v>825</v>
      </c>
      <c r="AK11" s="45">
        <v>875</v>
      </c>
      <c r="AL11" s="44">
        <v>925</v>
      </c>
      <c r="AM11" s="44">
        <v>975</v>
      </c>
      <c r="AN11" s="38">
        <v>1025</v>
      </c>
      <c r="AO11" s="38">
        <v>1075</v>
      </c>
      <c r="AP11" s="38">
        <v>1125</v>
      </c>
      <c r="AQ11" s="38">
        <v>1175</v>
      </c>
      <c r="AR11" s="38">
        <v>1225</v>
      </c>
    </row>
    <row r="12" spans="1:44" ht="15.6">
      <c r="A12" s="43" t="s">
        <v>49</v>
      </c>
      <c r="B12" s="36"/>
      <c r="C12" s="37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9"/>
      <c r="S12" s="38"/>
      <c r="T12" s="38"/>
      <c r="U12" s="38"/>
      <c r="V12" s="38"/>
      <c r="W12" s="38"/>
      <c r="X12" s="39"/>
      <c r="Y12" s="39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9"/>
      <c r="AK12" s="39"/>
      <c r="AL12" s="38"/>
      <c r="AM12" s="38"/>
      <c r="AN12" s="38"/>
      <c r="AO12" s="38"/>
      <c r="AP12" s="40"/>
      <c r="AQ12" s="40"/>
      <c r="AR12" s="40"/>
    </row>
    <row r="13" spans="1:44" ht="15.6">
      <c r="A13" s="79">
        <v>42237</v>
      </c>
      <c r="B13" s="84" t="s">
        <v>216</v>
      </c>
      <c r="C13" s="84" t="s">
        <v>216</v>
      </c>
      <c r="D13" s="80">
        <v>360.74</v>
      </c>
      <c r="E13" s="80">
        <v>329.9</v>
      </c>
      <c r="F13" s="80">
        <v>295.14999999999998</v>
      </c>
      <c r="G13" s="80">
        <v>283.81400000000002</v>
      </c>
      <c r="H13" s="80">
        <v>259.26</v>
      </c>
      <c r="I13" s="80">
        <v>244.08</v>
      </c>
      <c r="J13" s="80">
        <v>241.29</v>
      </c>
      <c r="K13" s="80">
        <v>230.53</v>
      </c>
      <c r="L13" s="80">
        <v>225.24</v>
      </c>
      <c r="M13" s="80">
        <v>218.32</v>
      </c>
      <c r="N13" s="80">
        <v>213.66</v>
      </c>
      <c r="O13" s="80">
        <v>208.45</v>
      </c>
      <c r="P13" s="80">
        <v>203.82</v>
      </c>
      <c r="Q13" s="80">
        <v>197.97</v>
      </c>
      <c r="R13" s="80">
        <v>193.75</v>
      </c>
      <c r="S13" s="80">
        <v>185.58</v>
      </c>
      <c r="T13" s="80" t="s">
        <v>216</v>
      </c>
      <c r="U13" s="80" t="s">
        <v>216</v>
      </c>
      <c r="V13" s="80" t="s">
        <v>216</v>
      </c>
      <c r="W13" s="83"/>
      <c r="X13" s="80" t="s">
        <v>216</v>
      </c>
      <c r="Y13" s="80" t="s">
        <v>216</v>
      </c>
      <c r="Z13" s="80">
        <v>288.63</v>
      </c>
      <c r="AA13" s="80">
        <v>258.91000000000003</v>
      </c>
      <c r="AB13" s="80">
        <v>251.11</v>
      </c>
      <c r="AC13" s="80">
        <v>241.09</v>
      </c>
      <c r="AD13" s="80">
        <v>233</v>
      </c>
      <c r="AE13" s="80">
        <v>227.21</v>
      </c>
      <c r="AF13" s="80">
        <v>224.79</v>
      </c>
      <c r="AG13" s="80">
        <v>212.06</v>
      </c>
      <c r="AH13" s="80">
        <v>207.75</v>
      </c>
      <c r="AI13" s="80">
        <v>198.04</v>
      </c>
      <c r="AJ13" s="80">
        <v>201.21</v>
      </c>
      <c r="AK13" s="80">
        <v>192</v>
      </c>
      <c r="AL13" s="81">
        <v>194.5</v>
      </c>
      <c r="AM13" s="81" t="s">
        <v>216</v>
      </c>
      <c r="AN13" s="81" t="s">
        <v>216</v>
      </c>
      <c r="AO13" s="81" t="s">
        <v>216</v>
      </c>
      <c r="AP13" s="81" t="s">
        <v>216</v>
      </c>
      <c r="AQ13" s="81" t="s">
        <v>216</v>
      </c>
      <c r="AR13" s="76"/>
    </row>
    <row r="15" spans="1:44">
      <c r="F15" t="s">
        <v>210</v>
      </c>
    </row>
    <row r="16" spans="1:44">
      <c r="F16">
        <f>F11*F13/100</f>
        <v>1254.3874999999998</v>
      </c>
      <c r="G16">
        <f t="shared" ref="G16:P16" si="0">G11*G13/100</f>
        <v>1348.1165000000003</v>
      </c>
      <c r="H16">
        <f t="shared" si="0"/>
        <v>1361.115</v>
      </c>
      <c r="I16">
        <f t="shared" si="0"/>
        <v>1403.46</v>
      </c>
      <c r="J16">
        <f t="shared" si="0"/>
        <v>1508.0625</v>
      </c>
      <c r="K16">
        <f t="shared" si="0"/>
        <v>1556.0775000000001</v>
      </c>
      <c r="L16">
        <f t="shared" si="0"/>
        <v>1632.99</v>
      </c>
      <c r="M16">
        <f t="shared" si="0"/>
        <v>1691.98</v>
      </c>
      <c r="N16">
        <f t="shared" si="0"/>
        <v>1762.6949999999999</v>
      </c>
      <c r="O16">
        <f t="shared" si="0"/>
        <v>1823.9375</v>
      </c>
      <c r="P16">
        <f t="shared" si="0"/>
        <v>1885.335</v>
      </c>
    </row>
    <row r="17" spans="7:16">
      <c r="G17">
        <f>G16-F16</f>
        <v>93.729000000000497</v>
      </c>
      <c r="H17">
        <f t="shared" ref="H17:P17" si="1">H16-G16</f>
        <v>12.998499999999694</v>
      </c>
      <c r="I17">
        <f t="shared" si="1"/>
        <v>42.345000000000027</v>
      </c>
      <c r="J17">
        <f t="shared" si="1"/>
        <v>104.60249999999996</v>
      </c>
      <c r="K17">
        <f t="shared" si="1"/>
        <v>48.0150000000001</v>
      </c>
      <c r="L17">
        <f t="shared" si="1"/>
        <v>76.912499999999909</v>
      </c>
      <c r="M17">
        <f t="shared" si="1"/>
        <v>58.990000000000009</v>
      </c>
      <c r="N17">
        <f t="shared" si="1"/>
        <v>70.714999999999918</v>
      </c>
      <c r="O17">
        <f t="shared" si="1"/>
        <v>61.242500000000064</v>
      </c>
      <c r="P17">
        <f t="shared" si="1"/>
        <v>61.397500000000036</v>
      </c>
    </row>
    <row r="18" spans="7:16">
      <c r="G18">
        <f>G17/50</f>
        <v>1.8745800000000099</v>
      </c>
      <c r="H18">
        <f t="shared" ref="H18:P18" si="2">H17/50</f>
        <v>0.25996999999999387</v>
      </c>
      <c r="I18">
        <f t="shared" si="2"/>
        <v>0.84690000000000054</v>
      </c>
      <c r="J18">
        <f t="shared" si="2"/>
        <v>2.0920499999999991</v>
      </c>
      <c r="K18">
        <f t="shared" si="2"/>
        <v>0.96030000000000204</v>
      </c>
      <c r="L18">
        <f t="shared" si="2"/>
        <v>1.5382499999999981</v>
      </c>
      <c r="M18">
        <f t="shared" si="2"/>
        <v>1.1798000000000002</v>
      </c>
      <c r="N18">
        <f t="shared" si="2"/>
        <v>1.4142999999999983</v>
      </c>
      <c r="O18">
        <f t="shared" si="2"/>
        <v>1.2248500000000013</v>
      </c>
      <c r="P18">
        <f t="shared" si="2"/>
        <v>1.2279500000000008</v>
      </c>
    </row>
    <row r="20" spans="7:16">
      <c r="G20" t="s">
        <v>211</v>
      </c>
      <c r="H20" t="s">
        <v>212</v>
      </c>
      <c r="I20" t="s">
        <v>213</v>
      </c>
      <c r="J20" t="s">
        <v>214</v>
      </c>
    </row>
    <row r="21" spans="7:16">
      <c r="G21">
        <f>(J18-H18)/100</f>
        <v>1.8320800000000054E-2</v>
      </c>
      <c r="H21">
        <f>(L16-H16)/200</f>
        <v>1.359375</v>
      </c>
      <c r="I21">
        <f>(L16-J16)/100</f>
        <v>1.2492750000000001</v>
      </c>
      <c r="J21">
        <f>(N16-J16)/100</f>
        <v>2.5463249999999995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K5"/>
  <sheetViews>
    <sheetView workbookViewId="0"/>
  </sheetViews>
  <sheetFormatPr defaultRowHeight="14.4"/>
  <cols>
    <col min="1" max="1" width="10.44140625" customWidth="1"/>
  </cols>
  <sheetData>
    <row r="1" spans="1:11" ht="15.6">
      <c r="A1" s="79">
        <v>42237</v>
      </c>
      <c r="B1" s="46"/>
      <c r="C1" s="47"/>
      <c r="D1" s="48" t="s">
        <v>119</v>
      </c>
      <c r="E1" s="46"/>
      <c r="F1" s="46"/>
      <c r="G1" s="46"/>
      <c r="H1" s="46"/>
      <c r="I1" s="46"/>
      <c r="J1" s="46"/>
      <c r="K1" s="49"/>
    </row>
    <row r="2" spans="1:11" ht="15.6">
      <c r="B2" s="46"/>
      <c r="C2" s="50" t="s">
        <v>120</v>
      </c>
      <c r="D2" s="47"/>
      <c r="E2" s="46"/>
      <c r="F2" s="46"/>
      <c r="G2" s="46"/>
      <c r="H2" s="46"/>
      <c r="I2" s="46"/>
      <c r="J2" s="46"/>
      <c r="K2" s="49"/>
    </row>
    <row r="3" spans="1:11" ht="15.6">
      <c r="A3" s="51"/>
      <c r="B3" s="46"/>
      <c r="C3" s="52" t="s">
        <v>121</v>
      </c>
      <c r="D3" s="52" t="s">
        <v>122</v>
      </c>
      <c r="E3" s="52" t="s">
        <v>123</v>
      </c>
      <c r="F3" s="52" t="s">
        <v>124</v>
      </c>
      <c r="G3" s="52" t="s">
        <v>125</v>
      </c>
      <c r="H3" s="52" t="s">
        <v>126</v>
      </c>
      <c r="I3" s="52" t="s">
        <v>127</v>
      </c>
      <c r="J3" s="52" t="s">
        <v>128</v>
      </c>
      <c r="K3" s="49" t="s">
        <v>129</v>
      </c>
    </row>
    <row r="4" spans="1:11" ht="15.6">
      <c r="A4" s="53"/>
      <c r="B4" s="46"/>
      <c r="C4" s="46">
        <v>1</v>
      </c>
      <c r="D4" s="46">
        <v>3</v>
      </c>
      <c r="E4" s="46">
        <v>4</v>
      </c>
      <c r="F4" s="46">
        <v>5</v>
      </c>
      <c r="G4" s="46">
        <v>8</v>
      </c>
      <c r="H4" s="46">
        <v>9</v>
      </c>
      <c r="I4" s="46">
        <v>10</v>
      </c>
      <c r="J4" s="46">
        <v>11</v>
      </c>
      <c r="K4" s="49"/>
    </row>
    <row r="5" spans="1:11" ht="15.6">
      <c r="A5" s="79">
        <v>42237</v>
      </c>
      <c r="C5" s="77">
        <v>199.02499389648438</v>
      </c>
      <c r="D5" s="77">
        <v>195.80000305175781</v>
      </c>
      <c r="E5" s="77">
        <v>196.375</v>
      </c>
      <c r="F5" s="77">
        <v>195.14999389648438</v>
      </c>
      <c r="G5" s="77">
        <v>213.89999389648438</v>
      </c>
      <c r="H5" s="77">
        <v>209.52499389648438</v>
      </c>
      <c r="I5" s="77">
        <v>207.42500305175781</v>
      </c>
      <c r="J5" s="77">
        <v>205.27499389648438</v>
      </c>
      <c r="K5" s="78">
        <v>213.89999389648438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18"/>
  <sheetViews>
    <sheetView workbookViewId="0">
      <selection sqref="A1:N18"/>
    </sheetView>
  </sheetViews>
  <sheetFormatPr defaultRowHeight="14.4"/>
  <cols>
    <col min="1" max="1" width="11.44140625" customWidth="1"/>
  </cols>
  <sheetData>
    <row r="1" spans="1:14" ht="15" thickBot="1">
      <c r="A1" t="s">
        <v>208</v>
      </c>
      <c r="B1" s="62" t="s">
        <v>142</v>
      </c>
      <c r="C1" s="62" t="s">
        <v>143</v>
      </c>
      <c r="D1" s="62" t="s">
        <v>144</v>
      </c>
      <c r="E1" s="62" t="s">
        <v>145</v>
      </c>
      <c r="F1" s="62" t="s">
        <v>146</v>
      </c>
      <c r="G1" s="62" t="s">
        <v>153</v>
      </c>
      <c r="H1" s="62" t="s">
        <v>154</v>
      </c>
      <c r="I1" s="62" t="s">
        <v>149</v>
      </c>
      <c r="J1" s="62" t="s">
        <v>155</v>
      </c>
      <c r="K1" s="62" t="s">
        <v>151</v>
      </c>
      <c r="L1" s="62" t="s">
        <v>140</v>
      </c>
      <c r="M1" s="62" t="s">
        <v>152</v>
      </c>
      <c r="N1" s="82" t="s">
        <v>134</v>
      </c>
    </row>
    <row r="2" spans="1:14">
      <c r="A2">
        <v>499</v>
      </c>
      <c r="B2" s="54">
        <v>38.463999999999999</v>
      </c>
      <c r="C2" s="54">
        <v>39.793999999999997</v>
      </c>
      <c r="D2" s="54">
        <v>44.882000000000005</v>
      </c>
      <c r="E2" s="54">
        <v>41.076000000000001</v>
      </c>
      <c r="F2" s="54">
        <v>35.678000000000004</v>
      </c>
      <c r="G2" s="54">
        <v>34.025999999999996</v>
      </c>
      <c r="H2" s="54">
        <v>24.54</v>
      </c>
      <c r="I2" s="54">
        <v>35.036000000000001</v>
      </c>
      <c r="J2" s="54">
        <v>31.077999999999996</v>
      </c>
      <c r="K2" s="54">
        <v>33.765999999999998</v>
      </c>
      <c r="L2" s="54">
        <v>44.489999999999995</v>
      </c>
      <c r="M2" s="54">
        <v>51.088000000000001</v>
      </c>
    </row>
    <row r="3" spans="1:14">
      <c r="A3">
        <v>599</v>
      </c>
      <c r="B3" s="63">
        <v>22.052</v>
      </c>
      <c r="C3" s="63">
        <v>25.32</v>
      </c>
      <c r="D3" s="63">
        <v>30.78</v>
      </c>
      <c r="E3" s="63">
        <v>27.483999999999998</v>
      </c>
      <c r="F3" s="63">
        <v>24.802</v>
      </c>
      <c r="G3" s="63">
        <v>19.242000000000001</v>
      </c>
      <c r="H3" s="63">
        <v>17.084</v>
      </c>
      <c r="I3" s="63">
        <v>19.963999999999999</v>
      </c>
      <c r="J3" s="63">
        <v>12.878</v>
      </c>
      <c r="K3" s="63">
        <v>16.164000000000001</v>
      </c>
      <c r="L3" s="63">
        <v>24.032000000000004</v>
      </c>
      <c r="M3" s="63">
        <v>25.57</v>
      </c>
    </row>
    <row r="4" spans="1:14">
      <c r="A4">
        <v>699</v>
      </c>
      <c r="B4" s="63">
        <v>6.734</v>
      </c>
      <c r="C4" s="63">
        <v>8.9640000000000004</v>
      </c>
      <c r="D4" s="63">
        <v>13.803999999999998</v>
      </c>
      <c r="E4" s="63">
        <v>13.324000000000002</v>
      </c>
      <c r="F4" s="63">
        <v>10.687999999999999</v>
      </c>
      <c r="G4" s="63">
        <v>6.2960000000000012</v>
      </c>
      <c r="H4" s="63">
        <v>7.0220000000000002</v>
      </c>
      <c r="I4" s="63">
        <v>8.6</v>
      </c>
      <c r="J4" s="63">
        <v>7.9819999999999993</v>
      </c>
      <c r="K4" s="63">
        <v>6.0679999999999996</v>
      </c>
      <c r="L4" s="63">
        <v>7.5</v>
      </c>
      <c r="M4" s="63">
        <v>10.812000000000001</v>
      </c>
    </row>
    <row r="5" spans="1:14">
      <c r="A5">
        <v>799</v>
      </c>
      <c r="B5" s="63">
        <v>-6.5999999999999975E-2</v>
      </c>
      <c r="C5" s="63">
        <v>-0.378</v>
      </c>
      <c r="D5" s="63">
        <v>1.026</v>
      </c>
      <c r="E5" s="63">
        <v>0.92599999999999993</v>
      </c>
      <c r="F5" s="63">
        <v>1.0100000000000002</v>
      </c>
      <c r="G5" s="63">
        <v>-1.6</v>
      </c>
      <c r="H5" s="63">
        <v>0.40399999999999991</v>
      </c>
      <c r="I5" s="63">
        <v>1.8359999999999999</v>
      </c>
      <c r="J5" s="63">
        <v>1.4780000000000002</v>
      </c>
      <c r="K5" s="63">
        <v>1.1519999999999999</v>
      </c>
      <c r="L5" s="63">
        <v>0.94800000000000006</v>
      </c>
      <c r="M5" s="63">
        <v>0.9760000000000002</v>
      </c>
    </row>
    <row r="7" spans="1:14" ht="15" thickBot="1">
      <c r="A7" t="s">
        <v>215</v>
      </c>
      <c r="B7" s="62" t="s">
        <v>142</v>
      </c>
      <c r="C7" s="62" t="s">
        <v>143</v>
      </c>
      <c r="D7" s="62" t="s">
        <v>144</v>
      </c>
      <c r="E7" s="62" t="s">
        <v>145</v>
      </c>
      <c r="F7" s="62" t="s">
        <v>146</v>
      </c>
      <c r="G7" s="62" t="s">
        <v>153</v>
      </c>
      <c r="H7" s="62" t="s">
        <v>154</v>
      </c>
      <c r="I7" s="62" t="s">
        <v>149</v>
      </c>
      <c r="J7" s="62" t="s">
        <v>155</v>
      </c>
      <c r="K7" s="62" t="s">
        <v>151</v>
      </c>
      <c r="L7" s="62" t="s">
        <v>140</v>
      </c>
      <c r="M7" s="62" t="s">
        <v>152</v>
      </c>
      <c r="N7" t="s">
        <v>135</v>
      </c>
    </row>
    <row r="8" spans="1:14">
      <c r="A8">
        <v>499</v>
      </c>
      <c r="B8" s="54">
        <v>10.141999999999999</v>
      </c>
      <c r="C8" s="54">
        <v>16.344000000000001</v>
      </c>
      <c r="D8" s="54">
        <v>20.602</v>
      </c>
      <c r="E8" s="54">
        <v>17.646000000000001</v>
      </c>
      <c r="F8" s="54">
        <v>15.877999999999997</v>
      </c>
      <c r="G8" s="54">
        <v>8.8439999999999994</v>
      </c>
      <c r="H8" s="54">
        <v>8.604000000000001</v>
      </c>
      <c r="I8" s="54">
        <v>12.836000000000002</v>
      </c>
      <c r="J8" s="54">
        <v>9.6419999999999995</v>
      </c>
      <c r="K8" s="54">
        <v>9.3040000000000003</v>
      </c>
      <c r="L8" s="54">
        <v>16.690000000000001</v>
      </c>
      <c r="M8" s="54">
        <v>19.158000000000001</v>
      </c>
    </row>
    <row r="9" spans="1:14">
      <c r="A9">
        <v>599</v>
      </c>
      <c r="B9" s="54">
        <v>1.19</v>
      </c>
      <c r="C9" s="54">
        <v>5.7620000000000005</v>
      </c>
      <c r="D9" s="54">
        <v>10.17</v>
      </c>
      <c r="E9" s="54">
        <v>8.2680000000000007</v>
      </c>
      <c r="F9" s="54">
        <v>6.7159999999999993</v>
      </c>
      <c r="G9" s="54">
        <v>2.024</v>
      </c>
      <c r="H9" s="54">
        <v>0.50200000000000033</v>
      </c>
      <c r="I9" s="54">
        <v>4.016</v>
      </c>
      <c r="J9" s="54">
        <v>0.33200000000000002</v>
      </c>
      <c r="K9" s="54">
        <v>-1.8820000000000001</v>
      </c>
      <c r="L9" s="54">
        <v>3.6559999999999997</v>
      </c>
      <c r="M9" s="54">
        <v>4.9600000000000009</v>
      </c>
    </row>
    <row r="10" spans="1:14">
      <c r="A10">
        <v>699</v>
      </c>
      <c r="B10" s="63">
        <v>-5.3959999999999999</v>
      </c>
      <c r="C10" s="63">
        <v>-4.508</v>
      </c>
      <c r="D10" s="63">
        <v>-2.06</v>
      </c>
      <c r="E10" s="63">
        <v>-2.3800000000000003</v>
      </c>
      <c r="F10" s="63">
        <v>-2.8919999999999999</v>
      </c>
      <c r="G10" s="63">
        <v>-5.2160000000000002</v>
      </c>
      <c r="H10" s="63">
        <v>-3.9659999999999997</v>
      </c>
      <c r="I10" s="63">
        <v>-5.2160000000000002</v>
      </c>
      <c r="J10" s="63">
        <v>-3.46</v>
      </c>
      <c r="K10" s="63">
        <v>-4.9139999999999997</v>
      </c>
      <c r="L10" s="63">
        <v>-5.4660000000000002</v>
      </c>
      <c r="M10" s="63">
        <v>-3.1459999999999999</v>
      </c>
    </row>
    <row r="11" spans="1:14">
      <c r="A11">
        <v>799</v>
      </c>
      <c r="B11" s="63">
        <v>-10.040000000000001</v>
      </c>
      <c r="C11" s="63">
        <v>-10.712</v>
      </c>
      <c r="D11" s="63">
        <v>-11.182</v>
      </c>
      <c r="E11" s="63">
        <v>-11.182</v>
      </c>
      <c r="F11" s="63">
        <v>-10.401999999999999</v>
      </c>
      <c r="G11" s="63">
        <v>-12.745999999999999</v>
      </c>
      <c r="H11" s="63">
        <v>-10.995999999999999</v>
      </c>
      <c r="I11" s="63">
        <v>-9.7880000000000003</v>
      </c>
      <c r="J11" s="63">
        <v>-10.99</v>
      </c>
      <c r="K11" s="63">
        <v>-10.994</v>
      </c>
      <c r="L11" s="63">
        <v>-10.809999999999999</v>
      </c>
      <c r="M11" s="63">
        <v>-10.011999999999999</v>
      </c>
    </row>
    <row r="14" spans="1:14">
      <c r="A14" t="s">
        <v>180</v>
      </c>
    </row>
    <row r="15" spans="1:14">
      <c r="B15">
        <v>1</v>
      </c>
      <c r="C15">
        <v>2</v>
      </c>
      <c r="D15">
        <v>3</v>
      </c>
      <c r="E15">
        <v>4</v>
      </c>
      <c r="F15">
        <v>5</v>
      </c>
      <c r="G15">
        <v>6</v>
      </c>
      <c r="H15">
        <v>7</v>
      </c>
      <c r="I15">
        <v>8</v>
      </c>
      <c r="J15">
        <v>9</v>
      </c>
      <c r="K15">
        <v>10</v>
      </c>
      <c r="L15">
        <v>11</v>
      </c>
      <c r="M15">
        <v>12</v>
      </c>
    </row>
    <row r="16" spans="1:14">
      <c r="A16">
        <v>500</v>
      </c>
      <c r="B16">
        <v>1.002</v>
      </c>
      <c r="C16">
        <v>1.0369999999999999</v>
      </c>
      <c r="D16">
        <v>1.056</v>
      </c>
      <c r="E16">
        <v>1.048</v>
      </c>
      <c r="F16">
        <v>1.012</v>
      </c>
      <c r="G16">
        <v>0.998</v>
      </c>
      <c r="H16">
        <v>0.98899999999999999</v>
      </c>
      <c r="I16">
        <v>0.98599999999999999</v>
      </c>
      <c r="J16">
        <v>0.96099999999999997</v>
      </c>
      <c r="K16">
        <v>0.94699999999999995</v>
      </c>
      <c r="L16">
        <v>0.97299999999999998</v>
      </c>
      <c r="M16">
        <v>0.99099999999999999</v>
      </c>
    </row>
    <row r="17" spans="1:13">
      <c r="A17">
        <v>600</v>
      </c>
      <c r="B17">
        <v>0.995</v>
      </c>
      <c r="C17">
        <v>1</v>
      </c>
      <c r="D17">
        <v>1.012</v>
      </c>
      <c r="E17">
        <v>1.018</v>
      </c>
      <c r="F17">
        <v>1.012</v>
      </c>
      <c r="G17">
        <v>1.018</v>
      </c>
      <c r="H17">
        <v>1.0149999999999999</v>
      </c>
      <c r="I17">
        <v>1.0029999999999999</v>
      </c>
      <c r="J17">
        <v>0.98099999999999998</v>
      </c>
      <c r="K17">
        <v>0.97099999999999997</v>
      </c>
      <c r="L17">
        <v>0.98</v>
      </c>
      <c r="M17">
        <v>0.995</v>
      </c>
    </row>
    <row r="18" spans="1:13">
      <c r="A18">
        <v>700</v>
      </c>
      <c r="B18">
        <v>1.008</v>
      </c>
      <c r="C18">
        <v>0.997</v>
      </c>
      <c r="D18">
        <v>0.98</v>
      </c>
      <c r="E18">
        <v>0.97699999999999998</v>
      </c>
      <c r="F18">
        <v>0.97699999999999998</v>
      </c>
      <c r="G18">
        <v>1.0069999999999999</v>
      </c>
      <c r="H18">
        <v>1.016</v>
      </c>
      <c r="I18">
        <v>1.006</v>
      </c>
      <c r="J18">
        <v>0.99299999999999999</v>
      </c>
      <c r="K18">
        <v>0.998</v>
      </c>
      <c r="L18">
        <v>1.014</v>
      </c>
      <c r="M18">
        <v>1.0269999999999999</v>
      </c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Q27"/>
  <sheetViews>
    <sheetView workbookViewId="0">
      <selection activeCell="A23" sqref="A23"/>
    </sheetView>
  </sheetViews>
  <sheetFormatPr defaultRowHeight="14.4"/>
  <cols>
    <col min="1" max="1" width="10.5546875" bestFit="1" customWidth="1"/>
    <col min="9" max="9" width="11.44140625" customWidth="1"/>
  </cols>
  <sheetData>
    <row r="1" spans="1:17">
      <c r="A1" t="s">
        <v>130</v>
      </c>
      <c r="D1" t="s">
        <v>133</v>
      </c>
      <c r="E1" t="s">
        <v>134</v>
      </c>
      <c r="G1" t="s">
        <v>135</v>
      </c>
      <c r="I1" t="s">
        <v>139</v>
      </c>
      <c r="J1" s="54">
        <f>Budget!F17</f>
        <v>62</v>
      </c>
      <c r="K1" s="65">
        <f>IF(J1&gt;31,VLOOKUP(J1,C7:E18,3)+1,1)</f>
        <v>3</v>
      </c>
      <c r="L1" s="60" t="str">
        <f>VLOOKUP(J1,B7:D18,3)</f>
        <v>MAR</v>
      </c>
      <c r="N1" t="s">
        <v>174</v>
      </c>
    </row>
    <row r="2" spans="1:17" ht="18">
      <c r="A2" t="s">
        <v>41</v>
      </c>
      <c r="D2" t="s">
        <v>136</v>
      </c>
      <c r="E2" s="56">
        <f>IF(HLOOKUP(Budget!$F$20,'combined prices'!$B$11:$V$13,3)&gt;0,HLOOKUP(Budget!$F$20,'combined prices'!$B$11:$V$13,3),HLOOKUP(Budget!$F$20+50,'combined prices'!$B$11:$V$13,3))</f>
        <v>295.14999999999998</v>
      </c>
      <c r="G2" s="56">
        <f>IF(HLOOKUP(Budget!$F$20,'combined prices'!$X$11:$AQ$13,3)&gt;0,HLOOKUP(Budget!$F$20,'combined prices'!$X$11:$AQ$13,3),HLOOKUP(Budget!$F$20+50,'combined prices'!$X$11:$AQ$13,3))</f>
        <v>251.11</v>
      </c>
      <c r="J2" t="s">
        <v>134</v>
      </c>
      <c r="K2" s="61" t="s">
        <v>135</v>
      </c>
      <c r="L2" t="s">
        <v>134</v>
      </c>
      <c r="M2" s="61" t="s">
        <v>135</v>
      </c>
      <c r="N2" t="s">
        <v>173</v>
      </c>
      <c r="P2" t="s">
        <v>134</v>
      </c>
      <c r="Q2" t="s">
        <v>135</v>
      </c>
    </row>
    <row r="3" spans="1:17" ht="18">
      <c r="A3" t="s">
        <v>131</v>
      </c>
      <c r="D3" t="s">
        <v>137</v>
      </c>
      <c r="E3" s="56">
        <f>IF(HLOOKUP(Budget!$F$20,'OKC prices'!$B$11:$V$13,3)&gt;0,HLOOKUP(Budget!$F$20,'OKC prices'!$B$11:$V$13,3),HLOOKUP(Budget!$F$20+50,'OKC prices'!$B$11:$V$13,3))</f>
        <v>295.14999999999998</v>
      </c>
      <c r="G3" s="56">
        <f>IF(HLOOKUP(Budget!$F$20,'OKC prices'!$X$11:$AQ$13,3)&gt;0,HLOOKUP(Budget!$F$20,'OKC prices'!$X$11:$AQ$13,3),HLOOKUP(Budget!$F$20+50,'OKC prices'!$X$11:$AQ$13,3))</f>
        <v>251.11</v>
      </c>
      <c r="I3" t="s">
        <v>157</v>
      </c>
      <c r="J3" s="54">
        <f>Budget!F41</f>
        <v>680</v>
      </c>
      <c r="K3" s="54">
        <f>Budget!J41</f>
        <v>654</v>
      </c>
      <c r="L3" s="54">
        <f>J3</f>
        <v>680</v>
      </c>
      <c r="M3" s="54">
        <f>K3</f>
        <v>654</v>
      </c>
      <c r="O3" t="s">
        <v>176</v>
      </c>
      <c r="P3">
        <f>IF(J8&lt;&gt;L8,ABS(J3-MIN(J8,L8))/ABS(J8-L8),1)</f>
        <v>0.3</v>
      </c>
      <c r="Q3">
        <f>IF(K8&lt;&gt;M8,ABS(K3-MIN(K8,M8))/ABS(K8-M8),1)</f>
        <v>0.04</v>
      </c>
    </row>
    <row r="4" spans="1:17">
      <c r="I4" t="s">
        <v>138</v>
      </c>
      <c r="J4" s="66">
        <f>HLOOKUP(K1,futures!C4:J5,2)</f>
        <v>195.80000305175781</v>
      </c>
      <c r="K4" s="61">
        <f>J4</f>
        <v>195.80000305175781</v>
      </c>
      <c r="L4" s="54">
        <f>J4</f>
        <v>195.80000305175781</v>
      </c>
      <c r="M4" s="54">
        <f>K4</f>
        <v>195.80000305175781</v>
      </c>
      <c r="O4" t="s">
        <v>177</v>
      </c>
      <c r="P4">
        <f>P3*(ABS(J7-L7))+MIN(J7,L7)</f>
        <v>200.65940305175781</v>
      </c>
      <c r="Q4">
        <f>Q3*(ABS(K7-M7))+MIN(K7,M7)</f>
        <v>184.98288305175782</v>
      </c>
    </row>
    <row r="5" spans="1:17">
      <c r="I5" t="s">
        <v>158</v>
      </c>
      <c r="J5">
        <v>5</v>
      </c>
      <c r="K5">
        <v>5</v>
      </c>
      <c r="L5">
        <f>IF(J3&lt;J8,IF(J5-1&gt;2,J5-1,2),IF(J5+1&lt;6,J5+1,5))</f>
        <v>4</v>
      </c>
      <c r="M5">
        <f>IF(K3&lt;K8,IF(K5-1&gt;2,K5-1,2),IF(K5+1&lt;6,K5+1,5))</f>
        <v>4</v>
      </c>
    </row>
    <row r="6" spans="1:17">
      <c r="A6" t="s">
        <v>141</v>
      </c>
      <c r="I6" t="s">
        <v>156</v>
      </c>
      <c r="J6">
        <f>HLOOKUP($L$1,basis!$A1:$M5,lists!J$5,FALSE)</f>
        <v>1.026</v>
      </c>
      <c r="K6">
        <f>HLOOKUP($L$1,basis!$A$7:$M$11,lists!K5,FALSE)</f>
        <v>-11.182</v>
      </c>
      <c r="L6">
        <f>HLOOKUP($L$1,basis!$A1:$M5,lists!L$5,FALSE)</f>
        <v>13.803999999999998</v>
      </c>
      <c r="M6">
        <f>HLOOKUP($L$1,basis!$A$7:$M$11,lists!M5,FALSE)</f>
        <v>-2.06</v>
      </c>
    </row>
    <row r="7" spans="1:17">
      <c r="A7" t="s">
        <v>142</v>
      </c>
      <c r="B7">
        <v>0</v>
      </c>
      <c r="C7" s="60">
        <v>31</v>
      </c>
      <c r="D7" t="s">
        <v>121</v>
      </c>
      <c r="E7">
        <v>1</v>
      </c>
      <c r="I7" t="s">
        <v>159</v>
      </c>
      <c r="J7" s="64">
        <f>J4+J6</f>
        <v>196.82600305175782</v>
      </c>
      <c r="K7" s="64">
        <f>K4+K6</f>
        <v>184.61800305175782</v>
      </c>
      <c r="L7" s="64">
        <f>L4+L6</f>
        <v>209.60400305175781</v>
      </c>
      <c r="M7" s="64">
        <f>M4+M6</f>
        <v>193.74000305175781</v>
      </c>
    </row>
    <row r="8" spans="1:17">
      <c r="A8" t="s">
        <v>143</v>
      </c>
      <c r="B8">
        <v>31</v>
      </c>
      <c r="C8" s="60">
        <f>C7+28</f>
        <v>59</v>
      </c>
      <c r="D8" t="s">
        <v>162</v>
      </c>
      <c r="E8">
        <v>2</v>
      </c>
      <c r="I8" t="s">
        <v>175</v>
      </c>
      <c r="J8">
        <f>J5*100+250</f>
        <v>750</v>
      </c>
      <c r="K8">
        <f>K5*100+250</f>
        <v>750</v>
      </c>
      <c r="L8">
        <f t="shared" ref="L8:M8" si="0">L5*100+250</f>
        <v>650</v>
      </c>
      <c r="M8">
        <f t="shared" si="0"/>
        <v>650</v>
      </c>
    </row>
    <row r="9" spans="1:17">
      <c r="A9" s="55" t="s">
        <v>144</v>
      </c>
      <c r="B9">
        <f>B8+28</f>
        <v>59</v>
      </c>
      <c r="C9" s="60">
        <f>C8+31</f>
        <v>90</v>
      </c>
      <c r="D9" t="s">
        <v>122</v>
      </c>
      <c r="E9">
        <v>3</v>
      </c>
    </row>
    <row r="10" spans="1:17">
      <c r="A10" t="s">
        <v>145</v>
      </c>
      <c r="B10">
        <f>B9+31</f>
        <v>90</v>
      </c>
      <c r="C10" s="60">
        <f>C9+30</f>
        <v>120</v>
      </c>
      <c r="D10" t="s">
        <v>123</v>
      </c>
      <c r="E10">
        <v>4</v>
      </c>
    </row>
    <row r="11" spans="1:17">
      <c r="A11" t="s">
        <v>146</v>
      </c>
      <c r="B11">
        <f>B10+30</f>
        <v>120</v>
      </c>
      <c r="C11" s="60">
        <f>C10+31</f>
        <v>151</v>
      </c>
      <c r="D11" t="s">
        <v>124</v>
      </c>
      <c r="E11">
        <v>5</v>
      </c>
      <c r="O11">
        <f>IF(K1=basis!I1,1,0)</f>
        <v>0</v>
      </c>
    </row>
    <row r="12" spans="1:17">
      <c r="A12" t="s">
        <v>147</v>
      </c>
      <c r="B12">
        <f>B11+31</f>
        <v>151</v>
      </c>
      <c r="C12" s="60">
        <f>C11+30</f>
        <v>181</v>
      </c>
      <c r="D12" t="s">
        <v>163</v>
      </c>
      <c r="E12">
        <v>6</v>
      </c>
      <c r="I12" t="s">
        <v>166</v>
      </c>
      <c r="K12" t="s">
        <v>167</v>
      </c>
    </row>
    <row r="13" spans="1:17">
      <c r="A13" t="s">
        <v>148</v>
      </c>
      <c r="B13">
        <f>B12+30</f>
        <v>181</v>
      </c>
      <c r="C13" s="60">
        <f>C12+31</f>
        <v>212</v>
      </c>
      <c r="D13" t="s">
        <v>164</v>
      </c>
      <c r="E13">
        <v>7</v>
      </c>
      <c r="I13" t="s">
        <v>168</v>
      </c>
      <c r="K13" s="60">
        <f>Budget!F20</f>
        <v>425</v>
      </c>
    </row>
    <row r="14" spans="1:17">
      <c r="A14" t="s">
        <v>149</v>
      </c>
      <c r="B14">
        <f>B13+31</f>
        <v>212</v>
      </c>
      <c r="C14" s="60">
        <f>C13+31</f>
        <v>243</v>
      </c>
      <c r="D14" t="s">
        <v>125</v>
      </c>
      <c r="E14">
        <v>8</v>
      </c>
      <c r="J14" t="s">
        <v>136</v>
      </c>
      <c r="K14" t="s">
        <v>137</v>
      </c>
      <c r="L14" t="s">
        <v>157</v>
      </c>
    </row>
    <row r="15" spans="1:17">
      <c r="A15" t="s">
        <v>150</v>
      </c>
      <c r="B15">
        <f>B14+31</f>
        <v>243</v>
      </c>
      <c r="C15" s="60">
        <f>C14+30</f>
        <v>273</v>
      </c>
      <c r="D15" t="s">
        <v>126</v>
      </c>
      <c r="E15">
        <v>9</v>
      </c>
      <c r="I15" t="s">
        <v>169</v>
      </c>
      <c r="J15">
        <f>IF(HLOOKUP(Budget!$F$20,'combined prices'!$B$11:$V$13,3)&gt;0,HLOOKUP(Budget!$F$20,'combined prices'!$B$11:$V$13,3),HLOOKUP(Budget!$F$20+50,'combined prices'!$B$11:$V$13,3))</f>
        <v>295.14999999999998</v>
      </c>
      <c r="K15">
        <f>IF(HLOOKUP(Budget!$F$20,'OKC prices'!$B$11:$V$13,3)&gt;0,HLOOKUP(Budget!$F$20,'OKC prices'!$B$11:$V$13,3),HLOOKUP(Budget!$F$20+50,'OKC prices'!$B$11:$V$13,3))</f>
        <v>295.14999999999998</v>
      </c>
      <c r="L15">
        <f>HLOOKUP(Budget!$F$20,'combined prices'!$B$11:$V$13,1)</f>
        <v>425</v>
      </c>
    </row>
    <row r="16" spans="1:17">
      <c r="A16" t="s">
        <v>151</v>
      </c>
      <c r="B16">
        <f>B15+30</f>
        <v>273</v>
      </c>
      <c r="C16" s="60">
        <f>C15+31</f>
        <v>304</v>
      </c>
      <c r="D16" t="s">
        <v>127</v>
      </c>
      <c r="E16">
        <v>10</v>
      </c>
      <c r="I16" t="s">
        <v>170</v>
      </c>
      <c r="J16">
        <f>IF(HLOOKUP(L15+50,'combined prices'!$B$11:$V$13,3)&gt;0,HLOOKUP(L15+50,'combined prices'!$B$11:$V$13,3),HLOOKUP(L15+50+50,'combined prices'!$B$11:$V$13,3))</f>
        <v>283.81400000000002</v>
      </c>
      <c r="K16">
        <f>IF(HLOOKUP(L15+50,'OKC prices'!$B$11:$V$13,3)&gt;0,HLOOKUP(L15+50,'OKC prices'!$B$11:$V$13,3),HLOOKUP(L15+50+50,'OKC prices'!$B$11:$V$13,3))</f>
        <v>283.81400000000002</v>
      </c>
      <c r="L16">
        <f>HLOOKUP(L15+50,'combined prices'!$B$11:$V$13,1)</f>
        <v>475</v>
      </c>
    </row>
    <row r="17" spans="1:12">
      <c r="A17" t="s">
        <v>140</v>
      </c>
      <c r="B17">
        <f>B16+31</f>
        <v>304</v>
      </c>
      <c r="C17" s="60">
        <f>C16+30</f>
        <v>334</v>
      </c>
      <c r="D17" t="s">
        <v>128</v>
      </c>
      <c r="E17">
        <v>11</v>
      </c>
      <c r="I17" t="s">
        <v>171</v>
      </c>
      <c r="J17">
        <f>($K$13-$L$15)/($L$16-$L$15)*(J15-J16)+J16</f>
        <v>283.81400000000002</v>
      </c>
      <c r="K17">
        <f>($K$13-$L$15)/($L$16-$L$15)*(K16-K15)+K15</f>
        <v>295.14999999999998</v>
      </c>
    </row>
    <row r="18" spans="1:12">
      <c r="A18" t="s">
        <v>152</v>
      </c>
      <c r="B18">
        <f>B17+30</f>
        <v>334</v>
      </c>
      <c r="C18" s="60">
        <f>C17+31</f>
        <v>365</v>
      </c>
      <c r="D18" t="s">
        <v>165</v>
      </c>
      <c r="E18">
        <v>12</v>
      </c>
    </row>
    <row r="19" spans="1:12">
      <c r="I19" t="s">
        <v>166</v>
      </c>
      <c r="J19" s="54"/>
      <c r="K19" s="54" t="s">
        <v>172</v>
      </c>
    </row>
    <row r="20" spans="1:12">
      <c r="I20" t="s">
        <v>168</v>
      </c>
      <c r="K20" s="60">
        <f>Budget!H20</f>
        <v>450</v>
      </c>
    </row>
    <row r="21" spans="1:12">
      <c r="J21" t="s">
        <v>136</v>
      </c>
      <c r="K21" t="s">
        <v>137</v>
      </c>
      <c r="L21" t="s">
        <v>157</v>
      </c>
    </row>
    <row r="22" spans="1:12">
      <c r="I22" t="s">
        <v>169</v>
      </c>
      <c r="J22">
        <f>IF(HLOOKUP(K20,'combined prices'!$X$11:$AQ$13,3)&gt;0,HLOOKUP(K20,'combined prices'!$X$11:$AQ$13,3),HLOOKUP(K20+50,'combined prices'!$X$11:$AQ$13,3))</f>
        <v>251.11</v>
      </c>
      <c r="K22">
        <f>IF(HLOOKUP(Budget!$H$20,'OKC prices'!$X$11:$AQ$13,3)&gt;0,HLOOKUP(Budget!$H$20,'OKC prices'!$X$11:$AQ$13,3),HLOOKUP(Budget!$F$20+50,'OKC prices'!$X$11:$AQ$13,3))</f>
        <v>251.11</v>
      </c>
      <c r="L22">
        <f>HLOOKUP(K20,'combined prices'!$B$11:$V$13,1)</f>
        <v>425</v>
      </c>
    </row>
    <row r="23" spans="1:12">
      <c r="A23" s="67" t="s">
        <v>182</v>
      </c>
      <c r="I23" t="s">
        <v>170</v>
      </c>
      <c r="J23">
        <f>IF(HLOOKUP(K20+50,'combined prices'!$X$11:$AQ$13,3)&gt;0,HLOOKUP(K20+50,'combined prices'!$X$11:$AQ$13,3),HLOOKUP(K20+50+50,'combined prices'!$X$11:$AQ$13,3))</f>
        <v>241.09</v>
      </c>
      <c r="K23">
        <f>IF(HLOOKUP(Budget!$H$20+50,'OKC prices'!$X$11:$AQ$13,3)&gt;0,HLOOKUP(Budget!$H$20+50,'OKC prices'!$X$11:$AQ$13,3),HLOOKUP(Budget!$H$20+50+50,'OKC prices'!$X$11:$AQ$13,3))</f>
        <v>241.09</v>
      </c>
      <c r="L23">
        <f>HLOOKUP(K20+50,'combined prices'!$B$11:$V$13,1)</f>
        <v>475</v>
      </c>
    </row>
    <row r="24" spans="1:12">
      <c r="I24" t="s">
        <v>171</v>
      </c>
      <c r="J24">
        <f>($K$20-$L$22)/($L$23-$L$22)*(J22-J23)+J23</f>
        <v>246.10000000000002</v>
      </c>
      <c r="K24">
        <f>($K$20-$L$22)/($L$23-$L$22)*(K23-K22)+K22</f>
        <v>246.10000000000002</v>
      </c>
    </row>
    <row r="27" spans="1:12">
      <c r="I27" t="s">
        <v>181</v>
      </c>
    </row>
  </sheetData>
  <hyperlinks>
    <hyperlink ref="A23" r:id="rId1" xr:uid="{00000000-0004-0000-0600-000000000000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Budget</vt:lpstr>
      <vt:lpstr>cost_of_gain</vt:lpstr>
      <vt:lpstr>combined prices</vt:lpstr>
      <vt:lpstr>OKC prices</vt:lpstr>
      <vt:lpstr>futures</vt:lpstr>
      <vt:lpstr>basis</vt:lpstr>
      <vt:lpstr>lists</vt:lpstr>
      <vt:lpstr>Sheet1</vt:lpstr>
      <vt:lpstr>locations</vt:lpstr>
      <vt:lpstr>months</vt:lpstr>
    </vt:vector>
  </TitlesOfParts>
  <Company>AGECON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DeVuyst</dc:creator>
  <cp:lastModifiedBy>Wilson, Cassidy Diane</cp:lastModifiedBy>
  <cp:lastPrinted>2014-08-28T20:12:20Z</cp:lastPrinted>
  <dcterms:created xsi:type="dcterms:W3CDTF">2008-11-05T19:16:09Z</dcterms:created>
  <dcterms:modified xsi:type="dcterms:W3CDTF">2022-07-27T20:47:04Z</dcterms:modified>
</cp:coreProperties>
</file>