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tabRatio="910" activeTab="0"/>
  </bookViews>
  <sheets>
    <sheet name="Home" sheetId="1" r:id="rId1"/>
    <sheet name="Results" sheetId="2" r:id="rId2"/>
    <sheet name="Wheat" sheetId="3" r:id="rId3"/>
    <sheet name="Stocker" sheetId="4" r:id="rId4"/>
    <sheet name="Yld Chart" sheetId="5" r:id="rId5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n">#REF!</definedName>
    <definedName name="\p">#REF!</definedName>
    <definedName name="\r">#REF!</definedName>
    <definedName name="\s">#REF!</definedName>
    <definedName name="\t">#REF!</definedName>
    <definedName name="\w">#REF!</definedName>
    <definedName name="\z">#REF!</definedName>
    <definedName name="_Dist_Bin" hidden="1">#REF!</definedName>
    <definedName name="_Dist_Values" hidden="1">#REF!</definedName>
    <definedName name="_Table2_In1" hidden="1">#REF!</definedName>
    <definedName name="_Table2_In2" hidden="1">#REF!</definedName>
    <definedName name="_Table2_Out" hidden="1">#REF!</definedName>
    <definedName name="DAN">#REF!</definedName>
    <definedName name="OLE_LINK1" localSheetId="0">'Home'!$D$1</definedName>
    <definedName name="_xlnm.Print_Area" localSheetId="3">'Stocker'!$A$1:$G$25</definedName>
    <definedName name="TOPMENU">#REF!</definedName>
  </definedNames>
  <calcPr fullCalcOnLoad="1"/>
</workbook>
</file>

<file path=xl/comments1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>Click on the designated gray buttons to move from worksheet to worksheet.</t>
        </r>
        <r>
          <rPr>
            <sz val="11"/>
            <rFont val="Arial"/>
            <family val="2"/>
          </rPr>
          <t xml:space="preserve">
 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sz val="10"/>
            <rFont val="Arial"/>
            <family val="2"/>
          </rPr>
          <t>If you get lost in a worksheet, press Ctrl Home to return to cell A1</t>
        </r>
        <r>
          <rPr>
            <b/>
            <sz val="10"/>
            <rFont val="Arial"/>
            <family val="2"/>
          </rPr>
          <t>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Francis Epplin</author>
  </authors>
  <commentList>
    <comment ref="A10" authorId="0">
      <text>
        <r>
          <rPr>
            <sz val="10"/>
            <rFont val="Arial"/>
            <family val="2"/>
          </rPr>
          <t xml:space="preserve">Enter values to reflect the farm's situation in the cells bordered with single lines.  These values may be changed to conduct sensitivity analysis.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Francis Epplin</author>
  </authors>
  <commentList>
    <comment ref="C16" authorId="0">
      <text>
        <r>
          <rPr>
            <sz val="10"/>
            <rFont val="Arial"/>
            <family val="2"/>
          </rPr>
          <t>Enter appropriate values to reflect the farm's situation in cells bordered with a single line.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10"/>
            <rFont val="Arial"/>
            <family val="2"/>
          </rPr>
          <t xml:space="preserve">Click on the tabs at the bottom of the Excel screen to move from worksheet to worksheet, or click the Home button to return to the main menu.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Francis Epplin</author>
  </authors>
  <commentList>
    <comment ref="I13" authorId="0">
      <text>
        <r>
          <rPr>
            <sz val="10"/>
            <rFont val="Arial"/>
            <family val="2"/>
          </rPr>
          <t>It is assumed that under leasing options the livestock owner pays the feed, hay, vet-med, and labor costs associated with the livestock.  If this is not the case, enter a value in the Misc Leasing Exp cell to account for these costs.</t>
        </r>
      </text>
    </comment>
  </commentList>
</comments>
</file>

<file path=xl/comments5.xml><?xml version="1.0" encoding="utf-8"?>
<comments xmlns="http://schemas.openxmlformats.org/spreadsheetml/2006/main">
  <authors>
    <author>epplin</author>
  </authors>
  <commentList>
    <comment ref="J8" authorId="0">
      <text>
        <r>
          <rPr>
            <sz val="8"/>
            <rFont val="Tahoma"/>
            <family val="0"/>
          </rPr>
          <t xml:space="preserve">Only two years of data are included  for this location.
</t>
        </r>
      </text>
    </comment>
  </commentList>
</comments>
</file>

<file path=xl/sharedStrings.xml><?xml version="1.0" encoding="utf-8"?>
<sst xmlns="http://schemas.openxmlformats.org/spreadsheetml/2006/main" count="377" uniqueCount="186">
  <si>
    <t xml:space="preserve"> </t>
  </si>
  <si>
    <t>FALL/WINTER GRAZING</t>
  </si>
  <si>
    <t>INPUT QUANTITIES:</t>
  </si>
  <si>
    <t xml:space="preserve">  INPUT PRICES:</t>
  </si>
  <si>
    <t>Seed (bu/ac)</t>
  </si>
  <si>
    <t xml:space="preserve">   Seed ($/bu)</t>
  </si>
  <si>
    <t>Nitrogen (lb/ac)</t>
  </si>
  <si>
    <t xml:space="preserve">   Nitrogen ($/lb)</t>
  </si>
  <si>
    <t>Death Loss (%)</t>
  </si>
  <si>
    <t>Phosphorous (lb/ac)</t>
  </si>
  <si>
    <t xml:space="preserve">   Phosphorous ($/lb)</t>
  </si>
  <si>
    <t>Other Nutrients (lb/ac)</t>
  </si>
  <si>
    <t xml:space="preserve">   Other Nutrients ($/lb)</t>
  </si>
  <si>
    <t>FEED:</t>
  </si>
  <si>
    <t xml:space="preserve">   Custom Harvest ($/ac)</t>
  </si>
  <si>
    <t xml:space="preserve">  Supplemental Hay</t>
  </si>
  <si>
    <t xml:space="preserve">   Custom Harvest ($/bu)</t>
  </si>
  <si>
    <t xml:space="preserve">   Wheat</t>
  </si>
  <si>
    <t xml:space="preserve">  Supplemental Feed</t>
  </si>
  <si>
    <t xml:space="preserve">   Custom Hauling ($/bu)</t>
  </si>
  <si>
    <t xml:space="preserve">  Salt/Mineral</t>
  </si>
  <si>
    <t>Price</t>
  </si>
  <si>
    <t xml:space="preserve">   Miscellaneous ($/ac)</t>
  </si>
  <si>
    <t>LABOR:</t>
  </si>
  <si>
    <t>XXX</t>
  </si>
  <si>
    <t>UNIT</t>
  </si>
  <si>
    <t>PRICE</t>
  </si>
  <si>
    <t>QUANTITY</t>
  </si>
  <si>
    <t xml:space="preserve">  VALUE</t>
  </si>
  <si>
    <t>MACHINERY COST INPUT:</t>
  </si>
  <si>
    <t>LIVESTOCK RECEIPTS:</t>
  </si>
  <si>
    <t xml:space="preserve">    Total Receipts</t>
  </si>
  <si>
    <t>OPERATING INPUTS:</t>
  </si>
  <si>
    <t xml:space="preserve"> Hrs/hd/day</t>
  </si>
  <si>
    <t xml:space="preserve">  Stocker Calves</t>
  </si>
  <si>
    <t>cwt</t>
  </si>
  <si>
    <t>lb</t>
  </si>
  <si>
    <t xml:space="preserve">  Salt &amp; Mineral</t>
  </si>
  <si>
    <t xml:space="preserve">  Freight</t>
  </si>
  <si>
    <t xml:space="preserve">  Marketing</t>
  </si>
  <si>
    <t xml:space="preserve">  Vet-Med Expenses </t>
  </si>
  <si>
    <t>hd</t>
  </si>
  <si>
    <t xml:space="preserve">  Mach.&amp; Equip. Costs</t>
  </si>
  <si>
    <t xml:space="preserve">  Interest Expense</t>
  </si>
  <si>
    <t>dol</t>
  </si>
  <si>
    <t xml:space="preserve">  Labor</t>
  </si>
  <si>
    <t>hr</t>
  </si>
  <si>
    <t xml:space="preserve">  Beef Checkoff</t>
  </si>
  <si>
    <t xml:space="preserve">  Miscellaneous</t>
  </si>
  <si>
    <t xml:space="preserve">    Total Operating Costs</t>
  </si>
  <si>
    <t>RETURN ABOVE OPERATING COSTS  ($/hd)</t>
  </si>
  <si>
    <t>Unit</t>
  </si>
  <si>
    <t>CROP RECEIPTS:</t>
  </si>
  <si>
    <t>bu</t>
  </si>
  <si>
    <t xml:space="preserve">  Wheat Seed</t>
  </si>
  <si>
    <t xml:space="preserve">  Nitrogen </t>
  </si>
  <si>
    <t xml:space="preserve">  Phosphorus </t>
  </si>
  <si>
    <t xml:space="preserve">  Other Nutrients</t>
  </si>
  <si>
    <t xml:space="preserve">  Herbicide</t>
  </si>
  <si>
    <t>appl</t>
  </si>
  <si>
    <t xml:space="preserve">  Insecticide</t>
  </si>
  <si>
    <t xml:space="preserve">  Custom Harvest</t>
  </si>
  <si>
    <t>acre</t>
  </si>
  <si>
    <t xml:space="preserve">  Custom Hauling</t>
  </si>
  <si>
    <t xml:space="preserve">  </t>
  </si>
  <si>
    <t>RETURN ABOVE OPERATING COSTS  ($/ac)</t>
  </si>
  <si>
    <t>SHORT-RUN BREAKEVEN PRICE  ($/bu)</t>
  </si>
  <si>
    <t>SHORT-RUN BREAKEVEN YIELD  (bu/ac)</t>
  </si>
  <si>
    <t>Value</t>
  </si>
  <si>
    <t>Days Fed</t>
  </si>
  <si>
    <t>Cost ($/lb)</t>
  </si>
  <si>
    <t>Grain</t>
  </si>
  <si>
    <t>only</t>
  </si>
  <si>
    <t>Grain-</t>
  </si>
  <si>
    <t xml:space="preserve">    Grain-only</t>
  </si>
  <si>
    <t xml:space="preserve">   Forage-only</t>
  </si>
  <si>
    <t xml:space="preserve"> Forage &amp; Grain</t>
  </si>
  <si>
    <t xml:space="preserve"> Beef Checkoff ($/hd)</t>
  </si>
  <si>
    <t xml:space="preserve"> Marketing ($/cwt)</t>
  </si>
  <si>
    <t xml:space="preserve"> Freight ($/cwt)</t>
  </si>
  <si>
    <t>Grain Only</t>
  </si>
  <si>
    <t>Forage and Grain</t>
  </si>
  <si>
    <t>Forage only  (full season grazing)</t>
  </si>
  <si>
    <t>Farmer Alternatives</t>
  </si>
  <si>
    <t>$/acre</t>
  </si>
  <si>
    <t>Own cattle</t>
  </si>
  <si>
    <t>Pasture under contract</t>
  </si>
  <si>
    <t xml:space="preserve">  Stockers owned</t>
  </si>
  <si>
    <t xml:space="preserve">  Pasture rental @ $/cwt/m</t>
  </si>
  <si>
    <t xml:space="preserve">  Pasture rental @ $/lb gn</t>
  </si>
  <si>
    <t>Quantity</t>
  </si>
  <si>
    <t>SHORT-RUN BREAKEVEN GAIN (lb/head)</t>
  </si>
  <si>
    <t>Cents/pound of gain</t>
  </si>
  <si>
    <t>$/cwt/month</t>
  </si>
  <si>
    <t>Grain-Only Wheat Yield (bu/a)</t>
  </si>
  <si>
    <t>Forage and Grain Wheat Yield (bu/a)</t>
  </si>
  <si>
    <t>Wheat Price ($/bu)</t>
  </si>
  <si>
    <t>Stocker Purchase Weight (lbs)</t>
  </si>
  <si>
    <t>Stocker Purchase Price ($/lb)</t>
  </si>
  <si>
    <t xml:space="preserve">    Planted early but not grazed</t>
  </si>
  <si>
    <t xml:space="preserve">    Grazed with Own Cattle</t>
  </si>
  <si>
    <t xml:space="preserve">    Pasture Cattle Under $/# gain contract</t>
  </si>
  <si>
    <t xml:space="preserve">    Pasture Cattle Under $/cwt/month contract</t>
  </si>
  <si>
    <t>Labor (hr/ac)</t>
  </si>
  <si>
    <t>hrs</t>
  </si>
  <si>
    <t>SPRING  GRAZING (GRAZE OUT) DATA</t>
  </si>
  <si>
    <t>BUDGETS:</t>
  </si>
  <si>
    <t xml:space="preserve">  Additional Freight</t>
  </si>
  <si>
    <t xml:space="preserve">  Additional  Marketing</t>
  </si>
  <si>
    <t xml:space="preserve">    For the Spring Grazing (GRAZEOUT) Season</t>
  </si>
  <si>
    <t xml:space="preserve">  Grazeout Stocker</t>
  </si>
  <si>
    <t>Fall-winter stocking density (ac/hd)</t>
  </si>
  <si>
    <t xml:space="preserve">     Own Cattle</t>
  </si>
  <si>
    <t xml:space="preserve">     Pasture Cattle Under $/# gain contract</t>
  </si>
  <si>
    <t xml:space="preserve">     Pasture Cattle Under $/cwt/month contract </t>
  </si>
  <si>
    <t xml:space="preserve">    Never Grazed</t>
  </si>
  <si>
    <t>Pasture Leased Out Rate ($/lb of gain)</t>
  </si>
  <si>
    <t>Pasture Leased Out Rate ($/cwt/month)</t>
  </si>
  <si>
    <t>Wage Rate ($/hr)</t>
  </si>
  <si>
    <t>Return to land, machinery fixed costs, management, and overhead</t>
  </si>
  <si>
    <t>Interest Rate (%)</t>
  </si>
  <si>
    <t>Key</t>
  </si>
  <si>
    <t>Variables</t>
  </si>
  <si>
    <t>Average</t>
  </si>
  <si>
    <t xml:space="preserve">Worksheet for entering wheat production data </t>
  </si>
  <si>
    <t xml:space="preserve">Worksheet for entering stocker production data </t>
  </si>
  <si>
    <t>Worksheet for entering values for key variables and for conducting sensitivity analysis</t>
  </si>
  <si>
    <t>Hrs/hd</t>
  </si>
  <si>
    <t>Feed/Check</t>
  </si>
  <si>
    <t>Misc.</t>
  </si>
  <si>
    <t>Receiving</t>
  </si>
  <si>
    <t>WHEAT PRODUCTION DATA</t>
  </si>
  <si>
    <t>Fall-winter ADG (lb/hd/day)</t>
  </si>
  <si>
    <t>Receiving Program ADG  (lb/hd/day)</t>
  </si>
  <si>
    <t>Days on Receiving Program</t>
  </si>
  <si>
    <t xml:space="preserve"> (lb/hd/day)</t>
  </si>
  <si>
    <t>STOCKER PRODUCTION:  FALL-WINTER GRAZING DATA</t>
  </si>
  <si>
    <t>Days on Fall-Winter Pasture</t>
  </si>
  <si>
    <t>Predicted dual-purpose winter wheat grain yield by</t>
  </si>
  <si>
    <t>Lahoma, Oklahoma, 1991-1997.</t>
  </si>
  <si>
    <t>planting date, from research trials conducted at</t>
  </si>
  <si>
    <t>Planting Date</t>
  </si>
  <si>
    <t>Yield (bu/a)</t>
  </si>
  <si>
    <t>Relative Yield</t>
  </si>
  <si>
    <t>The objective of this program is to enable the comparison of alternative winter wheat</t>
  </si>
  <si>
    <t>Department of Agricultural Economics</t>
  </si>
  <si>
    <t xml:space="preserve">  Misc Leasing Expenses</t>
  </si>
  <si>
    <t xml:space="preserve"> Vet &amp; Med Exp ($/hd)</t>
  </si>
  <si>
    <t xml:space="preserve"> Mach &amp; Equip ($/hd)</t>
  </si>
  <si>
    <t xml:space="preserve"> Misc Expense ($/hd)</t>
  </si>
  <si>
    <t xml:space="preserve"> Misc Leasing Exp ($/hd)</t>
  </si>
  <si>
    <t>production systems.  The program is designed to enable a wheat producer to compare the</t>
  </si>
  <si>
    <t xml:space="preserve">In cooperation with the </t>
  </si>
  <si>
    <t>Departments of Animal Science and Plant and Soil Sciences</t>
  </si>
  <si>
    <t xml:space="preserve">Oklahoma State University </t>
  </si>
  <si>
    <t>Mach fuel, lube, repairs ($/ac)</t>
  </si>
  <si>
    <t xml:space="preserve">   Herbicide ($/appl)</t>
  </si>
  <si>
    <t xml:space="preserve">   Insecticide ($/appl)</t>
  </si>
  <si>
    <t>Forage +</t>
  </si>
  <si>
    <t>Herbicide (appl)</t>
  </si>
  <si>
    <t>Insecticide (appl)</t>
  </si>
  <si>
    <t>or for forage plus grain.  The program contains several worksheets.</t>
  </si>
  <si>
    <t>Forage + Grn ($/cwt/m Lease)</t>
  </si>
  <si>
    <t>Forage + Grn (¢/lb Gain Lease)</t>
  </si>
  <si>
    <t>Forage + Grain  (Own Cattle)</t>
  </si>
  <si>
    <t>For + Grn Stocker Sell Price  ($/lb)</t>
  </si>
  <si>
    <t xml:space="preserve">expected economic consequences from wheat produced for grain only,  </t>
  </si>
  <si>
    <t>These plots were not grazed.</t>
  </si>
  <si>
    <t>Cherokee</t>
  </si>
  <si>
    <t>Hunter</t>
  </si>
  <si>
    <t>Loyal</t>
  </si>
  <si>
    <t>Wheat grain yields from three production systems obtained from replicated trials on three</t>
  </si>
  <si>
    <t>farm fields over three growing seasons (2001-2004), for three planting dates.</t>
  </si>
  <si>
    <t>Grazed</t>
  </si>
  <si>
    <t>Not Grazed</t>
  </si>
  <si>
    <t>(variety OK 101)</t>
  </si>
  <si>
    <t xml:space="preserve">Research results of the effect of early planting on wheat grain yield </t>
  </si>
  <si>
    <t xml:space="preserve">have not been consistent.  In small plots at Lahoma that were not </t>
  </si>
  <si>
    <t>grazed, early planting consistently resulted in lower grain yields.</t>
  </si>
  <si>
    <t>However, in a more recent study of plots that were grazed moderately</t>
  </si>
  <si>
    <t>A number of factors influence grain yield of grazed wheat including:</t>
  </si>
  <si>
    <t xml:space="preserve">stocking density, weather, fertility, and grazing relative to first hollow stem. </t>
  </si>
  <si>
    <t>There may also be differences across varieties.</t>
  </si>
  <si>
    <t>in farm fields near Cherokee, Hunter, and Loyal, planting date</t>
  </si>
  <si>
    <t xml:space="preserve">did not significantly effect grain yield.  </t>
  </si>
  <si>
    <t>Grain-Only Wheat vs. Stocker plus Wheat Grain Production Planner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</si>
</sst>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_)"/>
    <numFmt numFmtId="167" formatCode="0.0_)"/>
    <numFmt numFmtId="168" formatCode="0.0"/>
    <numFmt numFmtId="169" formatCode="0.000"/>
    <numFmt numFmtId="170" formatCode="0.0000"/>
    <numFmt numFmtId="171" formatCode="0.0000000000"/>
    <numFmt numFmtId="172" formatCode="&quot;$&quot;#,##0"/>
    <numFmt numFmtId="173" formatCode="&quot;$&quot;#,##0.00"/>
    <numFmt numFmtId="174" formatCode="m/d"/>
    <numFmt numFmtId="175" formatCode="yyyy"/>
    <numFmt numFmtId="176" formatCode="_(* #,##0.0_);_(* \(#,##0.0\);_(* &quot;-&quot;??_);_(@_)"/>
    <numFmt numFmtId="177" formatCode="_(* #,##0_);_(* \(#,##0\);_(* &quot;-&quot;??_);_(@_)"/>
  </numFmts>
  <fonts count="64">
    <font>
      <sz val="10"/>
      <name val="Courier"/>
      <family val="0"/>
    </font>
    <font>
      <sz val="10"/>
      <name val="Times New Roman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0"/>
      <color indexed="12"/>
      <name val="Courier"/>
      <family val="3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25"/>
      <color indexed="8"/>
      <name val="Times New Roman"/>
      <family val="0"/>
    </font>
    <font>
      <sz val="15.5"/>
      <color indexed="8"/>
      <name val="Times New Roman"/>
      <family val="0"/>
    </font>
    <font>
      <sz val="11.25"/>
      <color indexed="8"/>
      <name val="Times New Roman"/>
      <family val="0"/>
    </font>
    <font>
      <sz val="9.25"/>
      <color indexed="8"/>
      <name val="Arial"/>
      <family val="0"/>
    </font>
    <font>
      <b/>
      <sz val="15.5"/>
      <color indexed="8"/>
      <name val="Times New Roman"/>
      <family val="0"/>
    </font>
    <font>
      <b/>
      <sz val="11.2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9">
    <xf numFmtId="164" fontId="0" fillId="0" borderId="0" xfId="0" applyAlignment="1">
      <alignment/>
    </xf>
    <xf numFmtId="164" fontId="8" fillId="33" borderId="0" xfId="0" applyFont="1" applyFill="1" applyBorder="1" applyAlignment="1">
      <alignment/>
    </xf>
    <xf numFmtId="164" fontId="8" fillId="33" borderId="0" xfId="0" applyFont="1" applyFill="1" applyAlignment="1">
      <alignment/>
    </xf>
    <xf numFmtId="16" fontId="8" fillId="33" borderId="0" xfId="0" applyNumberFormat="1" applyFont="1" applyFill="1" applyBorder="1" applyAlignment="1">
      <alignment/>
    </xf>
    <xf numFmtId="9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Border="1" applyAlignment="1">
      <alignment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9" fillId="0" borderId="11" xfId="0" applyFont="1" applyBorder="1" applyAlignment="1">
      <alignment/>
    </xf>
    <xf numFmtId="164" fontId="12" fillId="0" borderId="0" xfId="0" applyFont="1" applyAlignment="1">
      <alignment/>
    </xf>
    <xf numFmtId="164" fontId="12" fillId="34" borderId="0" xfId="0" applyFont="1" applyFill="1" applyAlignment="1">
      <alignment/>
    </xf>
    <xf numFmtId="164" fontId="9" fillId="34" borderId="0" xfId="0" applyFont="1" applyFill="1" applyAlignment="1">
      <alignment/>
    </xf>
    <xf numFmtId="164" fontId="13" fillId="0" borderId="0" xfId="0" applyFont="1" applyAlignment="1">
      <alignment horizontal="left"/>
    </xf>
    <xf numFmtId="164" fontId="9" fillId="33" borderId="0" xfId="0" applyFont="1" applyFill="1" applyAlignment="1">
      <alignment/>
    </xf>
    <xf numFmtId="164" fontId="9" fillId="0" borderId="0" xfId="0" applyFont="1" applyBorder="1" applyAlignment="1">
      <alignment/>
    </xf>
    <xf numFmtId="164" fontId="8" fillId="0" borderId="0" xfId="0" applyFont="1" applyAlignment="1">
      <alignment/>
    </xf>
    <xf numFmtId="7" fontId="9" fillId="0" borderId="0" xfId="0" applyNumberFormat="1" applyFont="1" applyAlignment="1" applyProtection="1">
      <alignment horizontal="left"/>
      <protection/>
    </xf>
    <xf numFmtId="164" fontId="8" fillId="0" borderId="0" xfId="0" applyFont="1" applyAlignment="1" quotePrefix="1">
      <alignment/>
    </xf>
    <xf numFmtId="164" fontId="6" fillId="0" borderId="0" xfId="0" applyFont="1" applyAlignment="1" applyProtection="1">
      <alignment horizontal="left"/>
      <protection/>
    </xf>
    <xf numFmtId="7" fontId="6" fillId="0" borderId="0" xfId="0" applyNumberFormat="1" applyFont="1" applyAlignment="1" applyProtection="1">
      <alignment horizontal="left"/>
      <protection/>
    </xf>
    <xf numFmtId="164" fontId="14" fillId="0" borderId="0" xfId="0" applyFont="1" applyBorder="1" applyAlignment="1">
      <alignment horizontal="right"/>
    </xf>
    <xf numFmtId="165" fontId="14" fillId="0" borderId="0" xfId="0" applyNumberFormat="1" applyFont="1" applyAlignment="1" applyProtection="1">
      <alignment/>
      <protection locked="0"/>
    </xf>
    <xf numFmtId="164" fontId="9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4" fontId="12" fillId="0" borderId="0" xfId="0" applyFont="1" applyAlignment="1" applyProtection="1">
      <alignment horizontal="left"/>
      <protection/>
    </xf>
    <xf numFmtId="164" fontId="12" fillId="0" borderId="0" xfId="0" applyNumberFormat="1" applyFont="1" applyAlignment="1" applyProtection="1">
      <alignment/>
      <protection/>
    </xf>
    <xf numFmtId="164" fontId="12" fillId="0" borderId="0" xfId="0" applyFont="1" applyAlignment="1" applyProtection="1">
      <alignment horizontal="right"/>
      <protection/>
    </xf>
    <xf numFmtId="164" fontId="15" fillId="0" borderId="0" xfId="0" applyFont="1" applyAlignment="1" applyProtection="1">
      <alignment/>
      <protection locked="0"/>
    </xf>
    <xf numFmtId="164" fontId="12" fillId="0" borderId="0" xfId="0" applyNumberFormat="1" applyFont="1" applyAlignment="1" applyProtection="1">
      <alignment horizontal="left"/>
      <protection/>
    </xf>
    <xf numFmtId="164" fontId="12" fillId="0" borderId="0" xfId="0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 horizontal="right"/>
      <protection/>
    </xf>
    <xf numFmtId="164" fontId="14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Font="1" applyAlignment="1" applyProtection="1">
      <alignment/>
      <protection/>
    </xf>
    <xf numFmtId="164" fontId="9" fillId="0" borderId="0" xfId="0" applyFont="1" applyAlignment="1" applyProtection="1" quotePrefix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164" fontId="12" fillId="0" borderId="0" xfId="0" applyFont="1" applyBorder="1" applyAlignment="1">
      <alignment/>
    </xf>
    <xf numFmtId="164" fontId="6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2" fillId="0" borderId="0" xfId="0" applyFont="1" applyBorder="1" applyAlignment="1" applyProtection="1">
      <alignment horizontal="left"/>
      <protection/>
    </xf>
    <xf numFmtId="164" fontId="15" fillId="0" borderId="12" xfId="0" applyNumberFormat="1" applyFont="1" applyBorder="1" applyAlignment="1" applyProtection="1">
      <alignment/>
      <protection locked="0"/>
    </xf>
    <xf numFmtId="165" fontId="15" fillId="0" borderId="12" xfId="0" applyNumberFormat="1" applyFont="1" applyBorder="1" applyAlignment="1" applyProtection="1">
      <alignment/>
      <protection locked="0"/>
    </xf>
    <xf numFmtId="169" fontId="15" fillId="0" borderId="12" xfId="0" applyNumberFormat="1" applyFont="1" applyBorder="1" applyAlignment="1" applyProtection="1">
      <alignment/>
      <protection locked="0"/>
    </xf>
    <xf numFmtId="164" fontId="15" fillId="0" borderId="12" xfId="0" applyFont="1" applyBorder="1" applyAlignment="1" applyProtection="1">
      <alignment/>
      <protection locked="0"/>
    </xf>
    <xf numFmtId="164" fontId="15" fillId="0" borderId="12" xfId="0" applyFont="1" applyBorder="1" applyAlignment="1" applyProtection="1">
      <alignment horizontal="right"/>
      <protection locked="0"/>
    </xf>
    <xf numFmtId="164" fontId="15" fillId="0" borderId="0" xfId="0" applyNumberFormat="1" applyFont="1" applyAlignment="1" applyProtection="1">
      <alignment/>
      <protection locked="0"/>
    </xf>
    <xf numFmtId="164" fontId="12" fillId="0" borderId="0" xfId="0" applyFont="1" applyAlignment="1">
      <alignment horizontal="left"/>
    </xf>
    <xf numFmtId="164" fontId="12" fillId="0" borderId="0" xfId="0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right"/>
      <protection/>
    </xf>
    <xf numFmtId="5" fontId="12" fillId="0" borderId="0" xfId="0" applyNumberFormat="1" applyFont="1" applyAlignment="1" applyProtection="1">
      <alignment/>
      <protection/>
    </xf>
    <xf numFmtId="164" fontId="12" fillId="0" borderId="0" xfId="0" applyFont="1" applyAlignment="1">
      <alignment horizontal="right"/>
    </xf>
    <xf numFmtId="167" fontId="12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4" fontId="15" fillId="0" borderId="0" xfId="0" applyFont="1" applyAlignment="1" applyProtection="1">
      <alignment horizontal="left"/>
      <protection locked="0"/>
    </xf>
    <xf numFmtId="164" fontId="12" fillId="0" borderId="0" xfId="0" applyFont="1" applyAlignment="1" applyProtection="1">
      <alignment horizontal="fill"/>
      <protection/>
    </xf>
    <xf numFmtId="164" fontId="15" fillId="0" borderId="0" xfId="0" applyFont="1" applyAlignment="1" applyProtection="1">
      <alignment horizontal="right"/>
      <protection locked="0"/>
    </xf>
    <xf numFmtId="9" fontId="15" fillId="0" borderId="0" xfId="0" applyNumberFormat="1" applyFont="1" applyAlignment="1" applyProtection="1">
      <alignment/>
      <protection locked="0"/>
    </xf>
    <xf numFmtId="167" fontId="15" fillId="0" borderId="0" xfId="0" applyNumberFormat="1" applyFont="1" applyAlignment="1" applyProtection="1">
      <alignment horizontal="left"/>
      <protection locked="0"/>
    </xf>
    <xf numFmtId="7" fontId="15" fillId="0" borderId="0" xfId="0" applyNumberFormat="1" applyFont="1" applyAlignment="1" applyProtection="1">
      <alignment horizontal="left"/>
      <protection locked="0"/>
    </xf>
    <xf numFmtId="5" fontId="12" fillId="0" borderId="0" xfId="0" applyNumberFormat="1" applyFont="1" applyAlignment="1" applyProtection="1">
      <alignment horizontal="left"/>
      <protection/>
    </xf>
    <xf numFmtId="7" fontId="12" fillId="0" borderId="0" xfId="0" applyNumberFormat="1" applyFont="1" applyAlignment="1" applyProtection="1">
      <alignment horizontal="left"/>
      <protection/>
    </xf>
    <xf numFmtId="7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/>
      <protection/>
    </xf>
    <xf numFmtId="166" fontId="15" fillId="0" borderId="0" xfId="0" applyNumberFormat="1" applyFont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7" fontId="6" fillId="0" borderId="0" xfId="0" applyNumberFormat="1" applyFont="1" applyBorder="1" applyAlignment="1" applyProtection="1">
      <alignment horizontal="left"/>
      <protection/>
    </xf>
    <xf numFmtId="165" fontId="15" fillId="0" borderId="12" xfId="0" applyNumberFormat="1" applyFont="1" applyBorder="1" applyAlignment="1" applyProtection="1">
      <alignment horizontal="right"/>
      <protection locked="0"/>
    </xf>
    <xf numFmtId="2" fontId="15" fillId="0" borderId="1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/>
    </xf>
    <xf numFmtId="164" fontId="12" fillId="0" borderId="0" xfId="0" applyNumberFormat="1" applyFont="1" applyAlignment="1" applyProtection="1">
      <alignment horizontal="center"/>
      <protection/>
    </xf>
    <xf numFmtId="165" fontId="15" fillId="0" borderId="0" xfId="0" applyNumberFormat="1" applyFont="1" applyBorder="1" applyAlignment="1" applyProtection="1">
      <alignment/>
      <protection locked="0"/>
    </xf>
    <xf numFmtId="165" fontId="15" fillId="0" borderId="13" xfId="0" applyNumberFormat="1" applyFont="1" applyBorder="1" applyAlignment="1" applyProtection="1">
      <alignment/>
      <protection locked="0"/>
    </xf>
    <xf numFmtId="164" fontId="15" fillId="0" borderId="13" xfId="0" applyNumberFormat="1" applyFont="1" applyBorder="1" applyAlignment="1" applyProtection="1">
      <alignment/>
      <protection locked="0"/>
    </xf>
    <xf numFmtId="164" fontId="12" fillId="35" borderId="14" xfId="0" applyFont="1" applyFill="1" applyBorder="1" applyAlignment="1">
      <alignment/>
    </xf>
    <xf numFmtId="164" fontId="12" fillId="35" borderId="14" xfId="0" applyNumberFormat="1" applyFont="1" applyFill="1" applyBorder="1" applyAlignment="1" applyProtection="1">
      <alignment/>
      <protection/>
    </xf>
    <xf numFmtId="164" fontId="12" fillId="35" borderId="15" xfId="0" applyFont="1" applyFill="1" applyBorder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12" fillId="0" borderId="0" xfId="0" applyFont="1" applyAlignment="1" quotePrefix="1">
      <alignment/>
    </xf>
    <xf numFmtId="164" fontId="16" fillId="0" borderId="0" xfId="0" applyFont="1" applyAlignment="1">
      <alignment/>
    </xf>
    <xf numFmtId="2" fontId="12" fillId="0" borderId="0" xfId="0" applyNumberFormat="1" applyFont="1" applyAlignment="1">
      <alignment/>
    </xf>
    <xf numFmtId="164" fontId="16" fillId="0" borderId="0" xfId="0" applyNumberFormat="1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/>
      <protection/>
    </xf>
    <xf numFmtId="164" fontId="16" fillId="0" borderId="0" xfId="0" applyFont="1" applyAlignment="1" applyProtection="1">
      <alignment horizontal="center"/>
      <protection/>
    </xf>
    <xf numFmtId="164" fontId="16" fillId="0" borderId="0" xfId="0" applyFont="1" applyAlignment="1" applyProtection="1">
      <alignment horizontal="left"/>
      <protection/>
    </xf>
    <xf numFmtId="164" fontId="16" fillId="0" borderId="0" xfId="0" applyNumberFormat="1" applyFont="1" applyAlignment="1" applyProtection="1">
      <alignment horizontal="center"/>
      <protection/>
    </xf>
    <xf numFmtId="164" fontId="16" fillId="0" borderId="0" xfId="0" applyFont="1" applyAlignment="1" applyProtection="1">
      <alignment/>
      <protection/>
    </xf>
    <xf numFmtId="2" fontId="16" fillId="0" borderId="0" xfId="0" applyNumberFormat="1" applyFont="1" applyAlignment="1">
      <alignment/>
    </xf>
    <xf numFmtId="164" fontId="9" fillId="0" borderId="0" xfId="0" applyNumberFormat="1" applyFont="1" applyAlignment="1" applyProtection="1">
      <alignment horizontal="center"/>
      <protection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Font="1" applyBorder="1" applyAlignment="1" applyProtection="1">
      <alignment horizontal="left"/>
      <protection/>
    </xf>
    <xf numFmtId="7" fontId="9" fillId="0" borderId="0" xfId="0" applyNumberFormat="1" applyFont="1" applyAlignment="1" applyProtection="1">
      <alignment horizontal="center"/>
      <protection/>
    </xf>
    <xf numFmtId="164" fontId="9" fillId="0" borderId="0" xfId="0" applyFont="1" applyBorder="1" applyAlignment="1">
      <alignment horizontal="right"/>
    </xf>
    <xf numFmtId="165" fontId="14" fillId="0" borderId="0" xfId="0" applyNumberFormat="1" applyFont="1" applyBorder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 horizontal="right"/>
      <protection/>
    </xf>
    <xf numFmtId="168" fontId="15" fillId="0" borderId="12" xfId="0" applyNumberFormat="1" applyFont="1" applyBorder="1" applyAlignment="1" applyProtection="1">
      <alignment horizontal="right"/>
      <protection locked="0"/>
    </xf>
    <xf numFmtId="1" fontId="15" fillId="0" borderId="12" xfId="0" applyNumberFormat="1" applyFont="1" applyBorder="1" applyAlignment="1" applyProtection="1">
      <alignment horizontal="right"/>
      <protection locked="0"/>
    </xf>
    <xf numFmtId="170" fontId="15" fillId="0" borderId="12" xfId="0" applyNumberFormat="1" applyFont="1" applyBorder="1" applyAlignment="1" applyProtection="1">
      <alignment horizontal="right"/>
      <protection locked="0"/>
    </xf>
    <xf numFmtId="164" fontId="19" fillId="0" borderId="0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4" fontId="20" fillId="0" borderId="0" xfId="0" applyFont="1" applyAlignment="1">
      <alignment/>
    </xf>
    <xf numFmtId="164" fontId="20" fillId="0" borderId="0" xfId="0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33" borderId="0" xfId="0" applyFont="1" applyFill="1" applyBorder="1" applyAlignment="1">
      <alignment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Fill="1" applyAlignment="1">
      <alignment/>
    </xf>
    <xf numFmtId="177" fontId="20" fillId="0" borderId="0" xfId="42" applyNumberFormat="1" applyFont="1" applyFill="1" applyAlignment="1">
      <alignment horizontal="right"/>
    </xf>
    <xf numFmtId="176" fontId="21" fillId="0" borderId="0" xfId="42" applyNumberFormat="1" applyFont="1" applyFill="1" applyAlignment="1">
      <alignment horizontal="right"/>
    </xf>
    <xf numFmtId="164" fontId="20" fillId="0" borderId="0" xfId="0" applyFont="1" applyFill="1" applyAlignment="1">
      <alignment horizontal="right"/>
    </xf>
    <xf numFmtId="177" fontId="21" fillId="0" borderId="0" xfId="42" applyNumberFormat="1" applyFont="1" applyFill="1" applyAlignment="1">
      <alignment/>
    </xf>
    <xf numFmtId="16" fontId="20" fillId="0" borderId="0" xfId="0" applyNumberFormat="1" applyFont="1" applyAlignment="1">
      <alignment/>
    </xf>
    <xf numFmtId="177" fontId="20" fillId="0" borderId="0" xfId="42" applyNumberFormat="1" applyFont="1" applyFill="1" applyAlignment="1">
      <alignment/>
    </xf>
    <xf numFmtId="177" fontId="20" fillId="0" borderId="0" xfId="42" applyNumberFormat="1" applyFont="1" applyAlignment="1">
      <alignment/>
    </xf>
    <xf numFmtId="165" fontId="20" fillId="0" borderId="0" xfId="0" applyNumberFormat="1" applyFont="1" applyFill="1" applyAlignment="1">
      <alignment/>
    </xf>
    <xf numFmtId="177" fontId="20" fillId="0" borderId="16" xfId="42" applyNumberFormat="1" applyFont="1" applyBorder="1" applyAlignment="1">
      <alignment/>
    </xf>
    <xf numFmtId="177" fontId="21" fillId="0" borderId="0" xfId="42" applyNumberFormat="1" applyFont="1" applyAlignment="1">
      <alignment/>
    </xf>
    <xf numFmtId="164" fontId="20" fillId="0" borderId="0" xfId="0" applyFont="1" applyBorder="1" applyAlignment="1">
      <alignment horizontal="left" wrapText="1"/>
    </xf>
    <xf numFmtId="164" fontId="20" fillId="0" borderId="0" xfId="0" applyFont="1" applyAlignment="1">
      <alignment wrapText="1"/>
    </xf>
    <xf numFmtId="164" fontId="2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20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Return to Land and Other Resources</a:t>
            </a:r>
          </a:p>
        </c:rich>
      </c:tx>
      <c:layout>
        <c:manualLayout>
          <c:xMode val="factor"/>
          <c:yMode val="factor"/>
          <c:x val="0.0055"/>
          <c:y val="-0.01925"/>
        </c:manualLayout>
      </c:layout>
      <c:spPr>
        <a:noFill/>
        <a:ln>
          <a:noFill/>
        </a:ln>
      </c:spPr>
    </c:title>
    <c:view3D>
      <c:rotX val="15"/>
      <c:hPercent val="137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52"/>
          <c:h val="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Results!$B$91:$B$98</c:f>
              <c:numCache/>
            </c:numRef>
          </c:val>
          <c:shape val="box"/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Results!$A$91:$A$98</c:f>
              <c:strCache/>
            </c:strRef>
          </c:cat>
          <c:val>
            <c:numRef>
              <c:f>Results!$C$91:$C$98</c:f>
              <c:numCache/>
            </c:numRef>
          </c:val>
          <c:shape val="box"/>
        </c:ser>
        <c:gapWidth val="100"/>
        <c:shape val="box"/>
        <c:axId val="42881205"/>
        <c:axId val="50386526"/>
      </c:bar3DChart>
      <c:catAx>
        <c:axId val="42881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</a:rPr>
                  <a:t>Production System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0386526"/>
        <c:crosses val="autoZero"/>
        <c:auto val="1"/>
        <c:lblOffset val="100"/>
        <c:tickLblSkip val="1"/>
        <c:noMultiLvlLbl val="0"/>
      </c:catAx>
      <c:valAx>
        <c:axId val="50386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</a:rPr>
                  <a:t>$/acre</a:t>
                </a:r>
              </a:p>
            </c:rich>
          </c:tx>
          <c:layout>
            <c:manualLayout>
              <c:xMode val="factor"/>
              <c:yMode val="factor"/>
              <c:x val="0.031"/>
              <c:y val="0.03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asnr.okstate.edu/" TargetMode="External" /><Relationship Id="rId4" Type="http://schemas.openxmlformats.org/officeDocument/2006/relationships/hyperlink" Target="http://www.dasnr.okstate.ed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23</xdr:row>
      <xdr:rowOff>142875</xdr:rowOff>
    </xdr:from>
    <xdr:to>
      <xdr:col>5</xdr:col>
      <xdr:colOff>142875</xdr:colOff>
      <xdr:row>26</xdr:row>
      <xdr:rowOff>85725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533900"/>
          <a:ext cx="2495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14</xdr:row>
      <xdr:rowOff>152400</xdr:rowOff>
    </xdr:from>
    <xdr:to>
      <xdr:col>1</xdr:col>
      <xdr:colOff>542925</xdr:colOff>
      <xdr:row>19</xdr:row>
      <xdr:rowOff>180975</xdr:rowOff>
    </xdr:to>
    <xdr:pic>
      <xdr:nvPicPr>
        <xdr:cNvPr id="2" name="Picture 40" descr="Go to DASNR.okstate.edu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86075"/>
          <a:ext cx="1219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38100</xdr:rowOff>
    </xdr:from>
    <xdr:to>
      <xdr:col>11</xdr:col>
      <xdr:colOff>19050</xdr:colOff>
      <xdr:row>32</xdr:row>
      <xdr:rowOff>28575</xdr:rowOff>
    </xdr:to>
    <xdr:graphicFrame>
      <xdr:nvGraphicFramePr>
        <xdr:cNvPr id="1" name="Chart 3"/>
        <xdr:cNvGraphicFramePr/>
      </xdr:nvGraphicFramePr>
      <xdr:xfrm>
        <a:off x="1571625" y="158115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17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7"/>
  <sheetViews>
    <sheetView tabSelected="1" defaultGridColor="0" zoomScale="90" zoomScaleNormal="90" zoomScalePageLayoutView="0" colorId="9" workbookViewId="0" topLeftCell="A1">
      <selection activeCell="A1" sqref="A1"/>
    </sheetView>
  </sheetViews>
  <sheetFormatPr defaultColWidth="9.00390625" defaultRowHeight="12.75"/>
  <cols>
    <col min="1" max="16384" width="9.00390625" style="7" customWidth="1"/>
  </cols>
  <sheetData>
    <row r="1" spans="1:7" ht="21" thickTop="1">
      <c r="A1" s="6"/>
      <c r="C1"/>
      <c r="D1" s="8" t="s">
        <v>185</v>
      </c>
      <c r="F1" s="9"/>
      <c r="G1" s="9"/>
    </row>
    <row r="2" ht="13.5" thickBot="1">
      <c r="A2" s="10"/>
    </row>
    <row r="3" spans="3:10" ht="15.75" thickTop="1">
      <c r="C3" s="11" t="s">
        <v>144</v>
      </c>
      <c r="D3" s="11"/>
      <c r="E3" s="11"/>
      <c r="F3" s="11"/>
      <c r="G3" s="11"/>
      <c r="H3" s="11"/>
      <c r="I3" s="11"/>
      <c r="J3" s="11"/>
    </row>
    <row r="4" spans="3:10" ht="15">
      <c r="C4" s="11" t="s">
        <v>151</v>
      </c>
      <c r="D4" s="11"/>
      <c r="E4" s="11"/>
      <c r="F4" s="11"/>
      <c r="G4" s="11"/>
      <c r="H4" s="11"/>
      <c r="I4" s="11"/>
      <c r="J4" s="11"/>
    </row>
    <row r="5" spans="3:10" ht="15">
      <c r="C5" s="11" t="s">
        <v>166</v>
      </c>
      <c r="D5" s="11"/>
      <c r="E5" s="11"/>
      <c r="F5" s="11"/>
      <c r="G5" s="11"/>
      <c r="H5" s="11"/>
      <c r="I5" s="11"/>
      <c r="J5" s="11"/>
    </row>
    <row r="6" spans="3:10" ht="15">
      <c r="C6" s="11" t="s">
        <v>161</v>
      </c>
      <c r="D6" s="11"/>
      <c r="E6" s="11"/>
      <c r="F6" s="11"/>
      <c r="G6" s="11"/>
      <c r="H6" s="11"/>
      <c r="I6" s="11"/>
      <c r="J6" s="11"/>
    </row>
    <row r="7" spans="3:10" ht="15">
      <c r="C7" s="11" t="s">
        <v>0</v>
      </c>
      <c r="D7" s="11"/>
      <c r="E7" s="11"/>
      <c r="F7" s="11"/>
      <c r="G7" s="11"/>
      <c r="H7" s="11"/>
      <c r="I7" s="11"/>
      <c r="J7" s="11"/>
    </row>
    <row r="8" spans="3:10" ht="15">
      <c r="C8" s="11"/>
      <c r="D8" s="11"/>
      <c r="E8" s="11"/>
      <c r="F8" s="11"/>
      <c r="G8" s="11"/>
      <c r="H8" s="11"/>
      <c r="I8" s="11"/>
      <c r="J8" s="11"/>
    </row>
    <row r="9" spans="3:12" ht="15">
      <c r="C9" s="11"/>
      <c r="D9" s="12" t="s">
        <v>126</v>
      </c>
      <c r="E9" s="12"/>
      <c r="F9" s="12"/>
      <c r="G9" s="12"/>
      <c r="H9" s="12"/>
      <c r="I9" s="12"/>
      <c r="J9" s="12"/>
      <c r="K9" s="13"/>
      <c r="L9" s="13"/>
    </row>
    <row r="10" spans="9:10" ht="15">
      <c r="I10" s="11"/>
      <c r="J10" s="11"/>
    </row>
    <row r="11" spans="1:10" ht="15">
      <c r="A11" s="14"/>
      <c r="C11" s="11"/>
      <c r="D11" s="12" t="s">
        <v>124</v>
      </c>
      <c r="E11" s="12"/>
      <c r="F11" s="12"/>
      <c r="G11" s="12"/>
      <c r="H11" s="12"/>
      <c r="I11" s="11"/>
      <c r="J11" s="11"/>
    </row>
    <row r="12" ht="15">
      <c r="A12" s="14"/>
    </row>
    <row r="13" spans="1:10" ht="15">
      <c r="A13" s="14"/>
      <c r="C13" s="11"/>
      <c r="D13" s="12" t="s">
        <v>125</v>
      </c>
      <c r="E13" s="12"/>
      <c r="F13" s="12"/>
      <c r="G13" s="12"/>
      <c r="H13" s="12"/>
      <c r="I13" s="11"/>
      <c r="J13" s="11"/>
    </row>
    <row r="14" spans="1:10" ht="15">
      <c r="A14" s="14"/>
      <c r="I14" s="11"/>
      <c r="J14" s="11"/>
    </row>
    <row r="15" spans="1:10" ht="15">
      <c r="A15" s="14"/>
      <c r="I15" s="11"/>
      <c r="J15" s="11"/>
    </row>
    <row r="16" spans="1:10" ht="15">
      <c r="A16" s="14"/>
      <c r="C16" s="11"/>
      <c r="D16" s="11"/>
      <c r="E16" s="11"/>
      <c r="F16" s="11"/>
      <c r="G16" s="11"/>
      <c r="H16" s="11"/>
      <c r="I16" s="11"/>
      <c r="J16" s="11"/>
    </row>
    <row r="17" spans="1:10" ht="15">
      <c r="A17" s="14"/>
      <c r="I17" s="11"/>
      <c r="J17" s="11"/>
    </row>
    <row r="18" spans="1:10" ht="15">
      <c r="A18" s="14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4"/>
      <c r="I19" s="11"/>
      <c r="J19" s="11"/>
    </row>
    <row r="20" spans="1:4" ht="15">
      <c r="A20" s="14"/>
      <c r="C20" s="11"/>
      <c r="D20" s="11"/>
    </row>
    <row r="21" spans="1:10" ht="15">
      <c r="A21" s="14"/>
      <c r="C21" s="11"/>
      <c r="E21" s="11"/>
      <c r="F21" s="11"/>
      <c r="G21" s="11"/>
      <c r="H21" s="11"/>
      <c r="I21" s="11"/>
      <c r="J21" s="11"/>
    </row>
    <row r="22" spans="1:8" ht="12.75">
      <c r="A22" s="94"/>
      <c r="B22" s="94"/>
      <c r="C22" s="94"/>
      <c r="D22" s="95" t="s">
        <v>145</v>
      </c>
      <c r="E22" s="95"/>
      <c r="F22" s="95"/>
      <c r="G22" s="95"/>
      <c r="H22" s="15"/>
    </row>
    <row r="23" spans="1:7" ht="12.75">
      <c r="A23" s="94"/>
      <c r="B23" s="94"/>
      <c r="C23" s="94"/>
      <c r="D23" s="95" t="s">
        <v>152</v>
      </c>
      <c r="E23" s="95"/>
      <c r="F23" s="95"/>
      <c r="G23" s="95"/>
    </row>
    <row r="24" spans="1:8" ht="12.75">
      <c r="A24" s="94"/>
      <c r="B24" s="94"/>
      <c r="C24" s="94"/>
      <c r="D24" s="95" t="s">
        <v>153</v>
      </c>
      <c r="E24" s="95"/>
      <c r="F24" s="95"/>
      <c r="G24" s="95"/>
      <c r="H24" s="24"/>
    </row>
    <row r="25" spans="6:8" ht="12.75">
      <c r="F25" s="24"/>
      <c r="H25" s="24"/>
    </row>
    <row r="26" ht="12.75">
      <c r="H26" s="24"/>
    </row>
    <row r="27" ht="12.75">
      <c r="H27" s="24"/>
    </row>
    <row r="28" spans="3:8" ht="12.75">
      <c r="C28" s="94"/>
      <c r="D28" s="95" t="s">
        <v>154</v>
      </c>
      <c r="E28" s="95"/>
      <c r="H28" s="24"/>
    </row>
    <row r="33" spans="7:10" ht="12.75">
      <c r="G33" s="24"/>
      <c r="H33" s="24"/>
      <c r="I33" s="24"/>
      <c r="J33" s="24"/>
    </row>
    <row r="34" ht="12.75">
      <c r="J34" s="24"/>
    </row>
    <row r="37" ht="12.75">
      <c r="C37" s="7" t="s">
        <v>0</v>
      </c>
    </row>
  </sheetData>
  <sheetProtection/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98"/>
  <sheetViews>
    <sheetView defaultGridColor="0" zoomScale="90" zoomScaleNormal="90" zoomScalePageLayoutView="0" colorId="9" workbookViewId="0" topLeftCell="A1">
      <selection activeCell="A1" sqref="A1"/>
    </sheetView>
  </sheetViews>
  <sheetFormatPr defaultColWidth="9.00390625" defaultRowHeight="12.75"/>
  <cols>
    <col min="1" max="1" width="11.50390625" style="7" customWidth="1"/>
    <col min="2" max="2" width="9.125" style="7" customWidth="1"/>
    <col min="3" max="3" width="9.00390625" style="7" customWidth="1"/>
    <col min="4" max="4" width="11.75390625" style="7" customWidth="1"/>
    <col min="5" max="5" width="9.00390625" style="7" customWidth="1"/>
    <col min="6" max="6" width="3.375" style="7" customWidth="1"/>
    <col min="7" max="8" width="9.00390625" style="7" customWidth="1"/>
    <col min="9" max="9" width="14.50390625" style="7" customWidth="1"/>
    <col min="10" max="16384" width="9.00390625" style="7" customWidth="1"/>
  </cols>
  <sheetData>
    <row r="1" spans="1:10" ht="15">
      <c r="A1" s="16"/>
      <c r="B1" s="7" t="s">
        <v>94</v>
      </c>
      <c r="C1" s="17"/>
      <c r="D1" s="17"/>
      <c r="E1" s="103">
        <v>40</v>
      </c>
      <c r="H1" s="17"/>
      <c r="I1" s="17"/>
      <c r="J1" s="17"/>
    </row>
    <row r="2" spans="1:10" ht="15">
      <c r="A2" s="16"/>
      <c r="B2" s="7" t="s">
        <v>95</v>
      </c>
      <c r="C2" s="17"/>
      <c r="D2" s="17"/>
      <c r="E2" s="103">
        <v>36</v>
      </c>
      <c r="H2" s="17"/>
      <c r="I2" s="17"/>
      <c r="J2" s="17"/>
    </row>
    <row r="3" spans="1:10" ht="15">
      <c r="A3" s="18"/>
      <c r="B3" s="7" t="s">
        <v>96</v>
      </c>
      <c r="C3" s="17"/>
      <c r="D3" s="17"/>
      <c r="E3" s="73">
        <v>5</v>
      </c>
      <c r="H3" s="17"/>
      <c r="I3" s="17"/>
      <c r="J3" s="17"/>
    </row>
    <row r="4" spans="1:10" ht="15.75">
      <c r="A4" s="20" t="s">
        <v>121</v>
      </c>
      <c r="B4" s="7" t="s">
        <v>97</v>
      </c>
      <c r="C4" s="17"/>
      <c r="D4" s="17"/>
      <c r="E4" s="104">
        <v>450</v>
      </c>
      <c r="G4" s="7" t="s">
        <v>116</v>
      </c>
      <c r="H4" s="19"/>
      <c r="I4" s="17"/>
      <c r="J4" s="50">
        <v>0.4</v>
      </c>
    </row>
    <row r="5" spans="1:10" ht="15.75">
      <c r="A5" s="21" t="s">
        <v>122</v>
      </c>
      <c r="B5" s="7" t="s">
        <v>98</v>
      </c>
      <c r="C5" s="17"/>
      <c r="D5" s="17"/>
      <c r="E5" s="105">
        <v>1.34</v>
      </c>
      <c r="G5" s="7" t="s">
        <v>117</v>
      </c>
      <c r="H5" s="19"/>
      <c r="I5" s="17"/>
      <c r="J5" s="50">
        <v>4</v>
      </c>
    </row>
    <row r="6" spans="2:10" ht="15">
      <c r="B6" s="7" t="s">
        <v>132</v>
      </c>
      <c r="C6" s="17"/>
      <c r="D6" s="17"/>
      <c r="E6" s="50">
        <v>2</v>
      </c>
      <c r="F6" s="23"/>
      <c r="G6" s="34" t="s">
        <v>120</v>
      </c>
      <c r="H6" s="17"/>
      <c r="I6" s="17"/>
      <c r="J6" s="46">
        <v>10</v>
      </c>
    </row>
    <row r="7" spans="1:10" ht="15">
      <c r="A7" s="18"/>
      <c r="B7" s="7" t="s">
        <v>111</v>
      </c>
      <c r="C7" s="17"/>
      <c r="D7" s="17"/>
      <c r="E7" s="50">
        <v>1.6</v>
      </c>
      <c r="F7" s="23"/>
      <c r="G7" s="34" t="s">
        <v>118</v>
      </c>
      <c r="H7" s="17"/>
      <c r="I7" s="17"/>
      <c r="J7" s="46">
        <v>0</v>
      </c>
    </row>
    <row r="8" spans="1:9" ht="15">
      <c r="A8" s="18"/>
      <c r="B8" s="7" t="s">
        <v>165</v>
      </c>
      <c r="C8" s="17"/>
      <c r="D8" s="17"/>
      <c r="E8" s="105">
        <v>1.155</v>
      </c>
      <c r="F8" s="23"/>
      <c r="G8" s="17"/>
      <c r="H8" s="17"/>
      <c r="I8" s="17"/>
    </row>
    <row r="9" spans="1:6" ht="12.75">
      <c r="A9" s="18"/>
      <c r="E9" s="22"/>
      <c r="F9" s="23"/>
    </row>
    <row r="10" spans="1:6" ht="12.75">
      <c r="A10" s="18"/>
      <c r="E10" s="22"/>
      <c r="F10" s="23"/>
    </row>
    <row r="11" spans="1:6" ht="12.75">
      <c r="A11" s="18"/>
      <c r="E11" s="22"/>
      <c r="F11" s="23"/>
    </row>
    <row r="12" spans="1:6" ht="12.75">
      <c r="A12" s="18"/>
      <c r="E12" s="22"/>
      <c r="F12" s="23"/>
    </row>
    <row r="13" spans="1:6" ht="12.75">
      <c r="A13" s="18" t="s">
        <v>0</v>
      </c>
      <c r="E13" s="22"/>
      <c r="F13" s="23"/>
    </row>
    <row r="14" spans="1:6" ht="12.75">
      <c r="A14" s="18"/>
      <c r="E14" s="22"/>
      <c r="F14" s="23"/>
    </row>
    <row r="15" spans="1:6" ht="12.75">
      <c r="A15" s="18"/>
      <c r="E15" s="22"/>
      <c r="F15" s="23"/>
    </row>
    <row r="16" spans="1:6" ht="12.75">
      <c r="A16" s="18"/>
      <c r="E16" s="22"/>
      <c r="F16" s="23"/>
    </row>
    <row r="17" spans="1:6" ht="12.75">
      <c r="A17" s="18"/>
      <c r="E17" s="22"/>
      <c r="F17" s="23"/>
    </row>
    <row r="18" spans="1:6" ht="12.75">
      <c r="A18" s="18"/>
      <c r="E18" s="22"/>
      <c r="F18" s="23"/>
    </row>
    <row r="19" spans="1:6" ht="12.75">
      <c r="A19" s="18"/>
      <c r="E19" s="22"/>
      <c r="F19" s="23"/>
    </row>
    <row r="20" spans="1:6" ht="12.75">
      <c r="A20" s="18"/>
      <c r="E20" s="22"/>
      <c r="F20" s="23"/>
    </row>
    <row r="21" spans="1:6" ht="12.75">
      <c r="A21" s="18"/>
      <c r="E21" s="22"/>
      <c r="F21" s="23"/>
    </row>
    <row r="22" spans="1:6" ht="12.75">
      <c r="A22" s="18"/>
      <c r="E22" s="22"/>
      <c r="F22" s="23"/>
    </row>
    <row r="23" spans="1:6" ht="12.75">
      <c r="A23" s="18"/>
      <c r="E23" s="22"/>
      <c r="F23" s="23"/>
    </row>
    <row r="24" spans="1:6" ht="12.75">
      <c r="A24" s="18"/>
      <c r="E24" s="22"/>
      <c r="F24" s="23"/>
    </row>
    <row r="25" spans="1:6" ht="12.75">
      <c r="A25" s="18"/>
      <c r="E25" s="22"/>
      <c r="F25" s="23"/>
    </row>
    <row r="26" spans="1:6" ht="12.75">
      <c r="A26" s="18"/>
      <c r="E26" s="22"/>
      <c r="F26" s="23"/>
    </row>
    <row r="27" spans="1:6" ht="12.75">
      <c r="A27" s="18"/>
      <c r="E27" s="22"/>
      <c r="F27" s="23"/>
    </row>
    <row r="28" spans="1:6" ht="12.75">
      <c r="A28" s="18"/>
      <c r="E28" s="22"/>
      <c r="F28" s="23"/>
    </row>
    <row r="29" spans="1:6" ht="12.75">
      <c r="A29" s="18"/>
      <c r="E29" s="22"/>
      <c r="F29" s="23"/>
    </row>
    <row r="30" spans="1:6" ht="12.75">
      <c r="A30" s="18"/>
      <c r="E30" s="22"/>
      <c r="F30" s="23"/>
    </row>
    <row r="31" spans="1:6" ht="12.75">
      <c r="A31" s="18"/>
      <c r="E31" s="22"/>
      <c r="F31" s="23"/>
    </row>
    <row r="32" spans="1:6" ht="12.75">
      <c r="A32" s="18"/>
      <c r="E32" s="22"/>
      <c r="F32" s="23"/>
    </row>
    <row r="33" spans="1:6" ht="12.75">
      <c r="A33" s="18"/>
      <c r="E33" s="22"/>
      <c r="F33" s="23"/>
    </row>
    <row r="34" spans="1:6" ht="12.75">
      <c r="A34" s="18"/>
      <c r="E34" s="22"/>
      <c r="F34" s="23"/>
    </row>
    <row r="35" spans="1:6" ht="12.75">
      <c r="A35" s="18"/>
      <c r="E35" s="22"/>
      <c r="F35" s="23"/>
    </row>
    <row r="36" spans="1:6" ht="12.75">
      <c r="A36" s="18"/>
      <c r="E36" s="22"/>
      <c r="F36" s="23"/>
    </row>
    <row r="37" spans="1:6" ht="12.75">
      <c r="A37" s="18"/>
      <c r="E37" s="22"/>
      <c r="F37" s="23"/>
    </row>
    <row r="38" spans="1:6" ht="12.75">
      <c r="A38" s="18"/>
      <c r="E38" s="22"/>
      <c r="F38" s="23"/>
    </row>
    <row r="39" spans="1:6" ht="12.75">
      <c r="A39" s="18"/>
      <c r="E39" s="22"/>
      <c r="F39" s="23"/>
    </row>
    <row r="40" spans="1:6" ht="12.75">
      <c r="A40" s="18"/>
      <c r="E40" s="22"/>
      <c r="F40" s="23"/>
    </row>
    <row r="41" spans="1:6" ht="12.75">
      <c r="A41" s="18"/>
      <c r="F41" s="23"/>
    </row>
    <row r="42" spans="1:6" ht="12.75">
      <c r="A42" s="18"/>
      <c r="D42" s="7" t="s">
        <v>119</v>
      </c>
      <c r="F42" s="23"/>
    </row>
    <row r="43" spans="1:6" ht="12.75">
      <c r="A43" s="7" t="s">
        <v>83</v>
      </c>
      <c r="F43" s="24" t="s">
        <v>84</v>
      </c>
    </row>
    <row r="44" spans="1:6" ht="13.5">
      <c r="A44" s="17"/>
      <c r="B44" s="7" t="s">
        <v>80</v>
      </c>
      <c r="C44" s="17"/>
      <c r="D44" s="17"/>
      <c r="E44" s="17"/>
      <c r="F44" s="25">
        <f>Wheat!$F$52</f>
        <v>71.035</v>
      </c>
    </row>
    <row r="45" spans="1:6" ht="13.5">
      <c r="A45" s="17"/>
      <c r="B45" s="7" t="s">
        <v>81</v>
      </c>
      <c r="C45" s="17"/>
      <c r="D45" s="17"/>
      <c r="E45" s="17"/>
      <c r="F45" s="25"/>
    </row>
    <row r="46" spans="1:6" ht="13.5">
      <c r="A46" s="17"/>
      <c r="B46" s="7" t="s">
        <v>99</v>
      </c>
      <c r="C46" s="17"/>
      <c r="D46" s="17"/>
      <c r="E46" s="17"/>
      <c r="F46" s="25">
        <f>Wheat!$H$52</f>
        <v>30.060000000000002</v>
      </c>
    </row>
    <row r="47" spans="1:6" ht="13.5">
      <c r="A47" s="17"/>
      <c r="B47" s="7" t="s">
        <v>100</v>
      </c>
      <c r="C47" s="17"/>
      <c r="D47" s="17"/>
      <c r="E47" s="17"/>
      <c r="F47" s="25">
        <f>$F$46+Stocker!$G$77</f>
        <v>91.20633541666678</v>
      </c>
    </row>
    <row r="48" spans="1:6" ht="13.5">
      <c r="A48" s="17"/>
      <c r="B48" s="7" t="s">
        <v>101</v>
      </c>
      <c r="C48" s="17"/>
      <c r="D48" s="17"/>
      <c r="E48" s="17"/>
      <c r="F48" s="25">
        <f>+$F$46+Stocker!$J$77</f>
        <v>76.745</v>
      </c>
    </row>
    <row r="49" spans="1:6" ht="13.5">
      <c r="A49" s="17"/>
      <c r="B49" s="7" t="s">
        <v>102</v>
      </c>
      <c r="C49" s="17"/>
      <c r="D49" s="17"/>
      <c r="E49" s="17"/>
      <c r="F49" s="25">
        <f>+$F$46+Stocker!$M$77</f>
        <v>76.42856666666667</v>
      </c>
    </row>
    <row r="50" spans="1:6" ht="13.5">
      <c r="A50" s="17"/>
      <c r="B50" s="7" t="s">
        <v>82</v>
      </c>
      <c r="C50" s="17"/>
      <c r="D50" s="17"/>
      <c r="E50" s="17"/>
      <c r="F50" s="25"/>
    </row>
    <row r="51" spans="1:6" ht="13.5">
      <c r="A51" s="17"/>
      <c r="B51" s="7" t="s">
        <v>115</v>
      </c>
      <c r="C51" s="17"/>
      <c r="D51" s="17"/>
      <c r="E51" s="17"/>
      <c r="F51" s="25">
        <f>-Wheat!$J$50</f>
        <v>0</v>
      </c>
    </row>
    <row r="52" spans="1:6" ht="13.5">
      <c r="A52" s="17"/>
      <c r="B52" s="7" t="s">
        <v>112</v>
      </c>
      <c r="C52" s="17"/>
      <c r="D52" s="17"/>
      <c r="E52" s="17"/>
      <c r="F52" s="25">
        <f>+$F$51+Stocker!$G$110+Stocker!$G$77</f>
        <v>61.14633541666677</v>
      </c>
    </row>
    <row r="53" spans="1:6" ht="13.5">
      <c r="A53" s="17"/>
      <c r="B53" s="7" t="s">
        <v>113</v>
      </c>
      <c r="C53" s="17"/>
      <c r="D53" s="17"/>
      <c r="E53" s="17"/>
      <c r="F53" s="25">
        <f>+$F$51+Stocker!$J$110+Stocker!$J$77</f>
        <v>46.685</v>
      </c>
    </row>
    <row r="54" spans="1:6" ht="13.5">
      <c r="A54" s="17"/>
      <c r="B54" s="7" t="s">
        <v>114</v>
      </c>
      <c r="C54" s="17"/>
      <c r="D54" s="17"/>
      <c r="E54" s="17"/>
      <c r="F54" s="25">
        <f>+$F$51+Stocker!$M$110+Stocker!$M$77</f>
        <v>46.368566666666666</v>
      </c>
    </row>
    <row r="55" spans="1:7" ht="13.5">
      <c r="A55" s="17"/>
      <c r="B55" s="17"/>
      <c r="C55" s="17"/>
      <c r="D55" s="17"/>
      <c r="E55" s="17"/>
      <c r="G55" s="25"/>
    </row>
    <row r="56" ht="12.75">
      <c r="G56" s="26"/>
    </row>
    <row r="57" ht="12.75">
      <c r="C57" s="25"/>
    </row>
    <row r="58" ht="12.75">
      <c r="C58" s="25"/>
    </row>
    <row r="59" spans="5:11" ht="12.75">
      <c r="E59" s="34"/>
      <c r="K59" s="35"/>
    </row>
    <row r="60" spans="5:11" ht="12.75">
      <c r="E60" s="34"/>
      <c r="F60" s="34"/>
      <c r="G60" s="36"/>
      <c r="H60" s="36"/>
      <c r="K60" s="35"/>
    </row>
    <row r="61" spans="5:11" ht="12.75">
      <c r="E61" s="23"/>
      <c r="F61" s="23"/>
      <c r="G61" s="37"/>
      <c r="H61" s="37"/>
      <c r="J61" s="34"/>
      <c r="K61" s="34"/>
    </row>
    <row r="62" spans="5:11" ht="12.75">
      <c r="E62" s="23"/>
      <c r="F62" s="23"/>
      <c r="G62" s="37"/>
      <c r="H62" s="37"/>
      <c r="J62" s="34"/>
      <c r="K62" s="38"/>
    </row>
    <row r="63" spans="5:11" ht="12.75">
      <c r="E63" s="23"/>
      <c r="F63" s="23"/>
      <c r="G63" s="37"/>
      <c r="H63" s="37"/>
      <c r="J63" s="34"/>
      <c r="K63" s="34"/>
    </row>
    <row r="64" spans="5:11" ht="12.75">
      <c r="E64" s="23"/>
      <c r="F64" s="23"/>
      <c r="G64" s="37"/>
      <c r="H64" s="37"/>
      <c r="J64" s="34"/>
      <c r="K64" s="34"/>
    </row>
    <row r="65" spans="5:11" ht="12.75">
      <c r="E65" s="23"/>
      <c r="F65" s="23"/>
      <c r="G65" s="37"/>
      <c r="H65" s="37"/>
      <c r="J65" s="34"/>
      <c r="K65" s="34"/>
    </row>
    <row r="66" spans="5:11" ht="12.75">
      <c r="E66" s="23"/>
      <c r="F66" s="23"/>
      <c r="G66" s="37"/>
      <c r="H66" s="37"/>
      <c r="J66" s="34"/>
      <c r="K66" s="34"/>
    </row>
    <row r="74" ht="12.75">
      <c r="G74" s="39"/>
    </row>
    <row r="75" spans="7:8" ht="12.75">
      <c r="G75" s="39"/>
      <c r="H75" s="34"/>
    </row>
    <row r="76" spans="5:9" ht="12.75">
      <c r="E76" s="39"/>
      <c r="F76" s="39"/>
      <c r="G76" s="39"/>
      <c r="H76" s="39"/>
      <c r="I76" s="39"/>
    </row>
    <row r="77" ht="12.75">
      <c r="E77" s="34"/>
    </row>
    <row r="78" spans="3:9" ht="12.75">
      <c r="C78" s="39"/>
      <c r="D78" s="40"/>
      <c r="E78" s="41"/>
      <c r="F78" s="41"/>
      <c r="G78" s="41"/>
      <c r="H78" s="41"/>
      <c r="I78" s="41"/>
    </row>
    <row r="79" spans="2:9" ht="12.75">
      <c r="B79" s="39"/>
      <c r="C79" s="39"/>
      <c r="D79" s="40"/>
      <c r="E79" s="41"/>
      <c r="F79" s="41"/>
      <c r="G79" s="41"/>
      <c r="H79" s="41"/>
      <c r="I79" s="41"/>
    </row>
    <row r="80" spans="2:9" ht="12.75">
      <c r="B80" s="39"/>
      <c r="C80" s="39"/>
      <c r="D80" s="40"/>
      <c r="E80" s="41"/>
      <c r="F80" s="41"/>
      <c r="G80" s="41"/>
      <c r="H80" s="41"/>
      <c r="I80" s="41"/>
    </row>
    <row r="81" spans="3:9" ht="12.75">
      <c r="C81" s="39"/>
      <c r="D81" s="40"/>
      <c r="E81" s="41"/>
      <c r="F81" s="41"/>
      <c r="G81" s="41"/>
      <c r="H81" s="41"/>
      <c r="I81" s="41"/>
    </row>
    <row r="82" spans="3:9" ht="12.75">
      <c r="C82" s="39"/>
      <c r="D82" s="40"/>
      <c r="E82" s="41"/>
      <c r="F82" s="41"/>
      <c r="G82" s="41"/>
      <c r="H82" s="41"/>
      <c r="I82" s="41"/>
    </row>
    <row r="83" spans="2:4" ht="12.75">
      <c r="B83" s="34"/>
      <c r="D83" s="34"/>
    </row>
    <row r="84" ht="12.75">
      <c r="B84" s="34"/>
    </row>
    <row r="85" ht="12.75">
      <c r="B85" s="39"/>
    </row>
    <row r="86" ht="12.75">
      <c r="G86" s="34"/>
    </row>
    <row r="87" ht="12.75">
      <c r="E87" s="34"/>
    </row>
    <row r="88" ht="12.75">
      <c r="F88" s="34"/>
    </row>
    <row r="89" ht="12.75">
      <c r="B89" s="34"/>
    </row>
    <row r="91" ht="12.75">
      <c r="C91" s="26"/>
    </row>
    <row r="92" spans="3:8" ht="12.75">
      <c r="C92" s="26"/>
      <c r="E92" s="39"/>
      <c r="F92" s="39"/>
      <c r="G92" s="39"/>
      <c r="H92" s="39"/>
    </row>
    <row r="93" spans="3:8" ht="12.75">
      <c r="C93" s="26"/>
      <c r="D93" s="39"/>
      <c r="E93" s="39"/>
      <c r="F93" s="39"/>
      <c r="G93" s="39"/>
      <c r="H93" s="39"/>
    </row>
    <row r="94" spans="1:8" ht="12.75">
      <c r="A94" s="7" t="s">
        <v>162</v>
      </c>
      <c r="C94" s="26">
        <f>+$F$46+Stocker!$M$77</f>
        <v>76.42856666666667</v>
      </c>
      <c r="D94" s="39"/>
      <c r="E94" s="39"/>
      <c r="F94" s="39"/>
      <c r="G94" s="39"/>
      <c r="H94" s="39"/>
    </row>
    <row r="95" spans="1:8" ht="12.75">
      <c r="A95" s="7" t="s">
        <v>163</v>
      </c>
      <c r="C95" s="26">
        <f>+$F$46+Stocker!$J$77</f>
        <v>76.745</v>
      </c>
      <c r="D95" s="39"/>
      <c r="E95" s="39"/>
      <c r="F95" s="39"/>
      <c r="G95" s="39"/>
      <c r="H95" s="39"/>
    </row>
    <row r="96" spans="1:3" ht="12.75">
      <c r="A96" s="7" t="s">
        <v>164</v>
      </c>
      <c r="C96" s="26">
        <f>$F$46+Stocker!$G$77</f>
        <v>91.20633541666678</v>
      </c>
    </row>
    <row r="97" ht="12.75">
      <c r="C97" s="26"/>
    </row>
    <row r="98" spans="1:3" ht="12.75">
      <c r="A98" s="7" t="s">
        <v>80</v>
      </c>
      <c r="C98" s="26">
        <f>Wheat!$F$52</f>
        <v>71.035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4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124"/>
  <sheetViews>
    <sheetView defaultGridColor="0" zoomScale="90" zoomScaleNormal="90" zoomScalePageLayoutView="0" colorId="9" workbookViewId="0" topLeftCell="A1">
      <selection activeCell="A1" sqref="A1"/>
    </sheetView>
  </sheetViews>
  <sheetFormatPr defaultColWidth="9.00390625" defaultRowHeight="12.75"/>
  <cols>
    <col min="1" max="1" width="9.00390625" style="42" customWidth="1"/>
    <col min="2" max="2" width="10.50390625" style="11" customWidth="1"/>
    <col min="3" max="4" width="9.00390625" style="11" customWidth="1"/>
    <col min="5" max="5" width="10.875" style="11" bestFit="1" customWidth="1"/>
    <col min="6" max="6" width="9.375" style="11" bestFit="1" customWidth="1"/>
    <col min="7" max="7" width="20.75390625" style="11" bestFit="1" customWidth="1"/>
    <col min="8" max="8" width="8.75390625" style="11" bestFit="1" customWidth="1"/>
    <col min="9" max="9" width="11.625" style="11" bestFit="1" customWidth="1"/>
    <col min="10" max="10" width="8.25390625" style="11" bestFit="1" customWidth="1"/>
    <col min="11" max="16384" width="9.00390625" style="11" customWidth="1"/>
  </cols>
  <sheetData>
    <row r="1" spans="3:9" ht="15.75">
      <c r="C1" s="20" t="s">
        <v>131</v>
      </c>
      <c r="D1" s="43"/>
      <c r="E1" s="20"/>
      <c r="F1" s="27"/>
      <c r="I1" s="27" t="s">
        <v>0</v>
      </c>
    </row>
    <row r="2" spans="4:6" ht="15">
      <c r="D2" s="44" t="s">
        <v>73</v>
      </c>
      <c r="E2" s="44" t="s">
        <v>158</v>
      </c>
      <c r="F2" s="44"/>
    </row>
    <row r="3" spans="1:14" ht="15">
      <c r="A3" s="45" t="s">
        <v>2</v>
      </c>
      <c r="D3" s="44" t="s">
        <v>72</v>
      </c>
      <c r="E3" s="44" t="s">
        <v>71</v>
      </c>
      <c r="F3" s="44"/>
      <c r="G3" s="27" t="s">
        <v>3</v>
      </c>
      <c r="N3" s="67"/>
    </row>
    <row r="4" spans="1:14" ht="15">
      <c r="A4" s="96" t="s">
        <v>4</v>
      </c>
      <c r="B4" s="27"/>
      <c r="D4" s="46">
        <v>1</v>
      </c>
      <c r="E4" s="46">
        <v>1.5</v>
      </c>
      <c r="F4" s="44"/>
      <c r="G4" s="34" t="s">
        <v>5</v>
      </c>
      <c r="I4" s="46">
        <v>12</v>
      </c>
      <c r="N4" s="67"/>
    </row>
    <row r="5" spans="1:14" ht="15">
      <c r="A5" s="96" t="s">
        <v>6</v>
      </c>
      <c r="D5" s="47">
        <v>60</v>
      </c>
      <c r="E5" s="47">
        <v>90</v>
      </c>
      <c r="F5" s="44"/>
      <c r="G5" s="38" t="s">
        <v>7</v>
      </c>
      <c r="I5" s="48">
        <v>0.5</v>
      </c>
      <c r="N5" s="67"/>
    </row>
    <row r="6" spans="1:14" ht="15">
      <c r="A6" s="97" t="s">
        <v>9</v>
      </c>
      <c r="D6" s="47">
        <v>20</v>
      </c>
      <c r="E6" s="47">
        <v>20</v>
      </c>
      <c r="F6" s="44"/>
      <c r="G6" s="34" t="s">
        <v>10</v>
      </c>
      <c r="I6" s="48">
        <v>0.46</v>
      </c>
      <c r="N6" s="67"/>
    </row>
    <row r="7" spans="1:14" ht="15">
      <c r="A7" s="97" t="s">
        <v>11</v>
      </c>
      <c r="D7" s="47">
        <v>0</v>
      </c>
      <c r="E7" s="47">
        <v>0</v>
      </c>
      <c r="F7" s="44"/>
      <c r="G7" s="34" t="s">
        <v>12</v>
      </c>
      <c r="I7" s="46">
        <v>0</v>
      </c>
      <c r="N7" s="68"/>
    </row>
    <row r="8" spans="1:9" ht="15">
      <c r="A8" s="97" t="s">
        <v>159</v>
      </c>
      <c r="C8" s="11" t="s">
        <v>0</v>
      </c>
      <c r="D8" s="47">
        <v>1</v>
      </c>
      <c r="E8" s="47">
        <v>1</v>
      </c>
      <c r="F8" s="44"/>
      <c r="G8" s="34" t="s">
        <v>156</v>
      </c>
      <c r="I8" s="46">
        <v>15</v>
      </c>
    </row>
    <row r="9" spans="1:14" ht="15">
      <c r="A9" s="97" t="s">
        <v>160</v>
      </c>
      <c r="D9" s="47">
        <v>1</v>
      </c>
      <c r="E9" s="47">
        <v>1</v>
      </c>
      <c r="F9" s="44"/>
      <c r="G9" s="34" t="s">
        <v>157</v>
      </c>
      <c r="I9" s="46">
        <v>8</v>
      </c>
      <c r="N9" s="30"/>
    </row>
    <row r="10" spans="6:14" ht="15">
      <c r="F10" s="44"/>
      <c r="G10" s="34" t="s">
        <v>14</v>
      </c>
      <c r="I10" s="46">
        <v>20</v>
      </c>
      <c r="N10" s="51"/>
    </row>
    <row r="11" spans="1:14" ht="15">
      <c r="A11" s="42" t="s">
        <v>29</v>
      </c>
      <c r="B11" s="27"/>
      <c r="F11" s="44"/>
      <c r="G11" s="34" t="s">
        <v>16</v>
      </c>
      <c r="I11" s="46">
        <v>0.2</v>
      </c>
      <c r="N11" s="30"/>
    </row>
    <row r="12" spans="1:14" ht="15">
      <c r="A12" s="16" t="s">
        <v>155</v>
      </c>
      <c r="B12" s="27"/>
      <c r="D12" s="49">
        <v>16</v>
      </c>
      <c r="E12" s="46">
        <v>16</v>
      </c>
      <c r="F12" s="44"/>
      <c r="G12" s="34" t="s">
        <v>19</v>
      </c>
      <c r="I12" s="46">
        <v>0.2</v>
      </c>
      <c r="N12" s="69"/>
    </row>
    <row r="13" spans="1:9" ht="15">
      <c r="A13" s="97" t="s">
        <v>103</v>
      </c>
      <c r="D13" s="49">
        <v>1</v>
      </c>
      <c r="E13" s="49">
        <v>1</v>
      </c>
      <c r="F13" s="44"/>
      <c r="G13" s="34" t="s">
        <v>22</v>
      </c>
      <c r="I13" s="46">
        <v>0</v>
      </c>
    </row>
    <row r="14" ht="15"/>
    <row r="15" ht="15">
      <c r="H15" s="51" t="s">
        <v>0</v>
      </c>
    </row>
    <row r="16" spans="9:14" ht="15">
      <c r="I16" s="27"/>
      <c r="N16" s="30"/>
    </row>
    <row r="17" ht="15">
      <c r="N17" s="59"/>
    </row>
    <row r="18" ht="15">
      <c r="N18" s="59"/>
    </row>
    <row r="19" ht="15">
      <c r="N19" s="59"/>
    </row>
    <row r="20" ht="15">
      <c r="N20" s="59"/>
    </row>
    <row r="21" ht="15">
      <c r="N21" s="59"/>
    </row>
    <row r="22" ht="15">
      <c r="N22" s="59"/>
    </row>
    <row r="23" ht="15">
      <c r="N23" s="59"/>
    </row>
    <row r="24" ht="15">
      <c r="N24" s="59"/>
    </row>
    <row r="25" ht="15">
      <c r="N25" s="59"/>
    </row>
    <row r="26" ht="15">
      <c r="N26" s="59"/>
    </row>
    <row r="27" ht="15">
      <c r="N27" s="59"/>
    </row>
    <row r="28" ht="15">
      <c r="N28" s="59"/>
    </row>
    <row r="29" ht="15">
      <c r="N29" s="59"/>
    </row>
    <row r="31" spans="1:14" ht="15">
      <c r="A31" s="45" t="s">
        <v>106</v>
      </c>
      <c r="D31" s="11" t="s">
        <v>0</v>
      </c>
      <c r="E31" s="52" t="s">
        <v>74</v>
      </c>
      <c r="G31" s="11" t="s">
        <v>76</v>
      </c>
      <c r="I31" s="11" t="s">
        <v>75</v>
      </c>
      <c r="N31" s="33"/>
    </row>
    <row r="32" spans="1:14" ht="15">
      <c r="A32" s="45" t="s">
        <v>0</v>
      </c>
      <c r="C32" s="53" t="s">
        <v>25</v>
      </c>
      <c r="D32" s="53" t="s">
        <v>26</v>
      </c>
      <c r="E32" s="53" t="s">
        <v>27</v>
      </c>
      <c r="F32" s="53" t="s">
        <v>28</v>
      </c>
      <c r="G32" s="53" t="s">
        <v>27</v>
      </c>
      <c r="H32" s="53" t="s">
        <v>28</v>
      </c>
      <c r="I32" s="53" t="s">
        <v>27</v>
      </c>
      <c r="J32" s="53" t="s">
        <v>28</v>
      </c>
      <c r="M32" s="54"/>
      <c r="N32" s="70"/>
    </row>
    <row r="33" spans="1:14" ht="15">
      <c r="A33" s="45" t="s">
        <v>52</v>
      </c>
      <c r="M33" s="55"/>
      <c r="N33" s="55"/>
    </row>
    <row r="34" spans="1:14" ht="15">
      <c r="A34" s="45" t="s">
        <v>17</v>
      </c>
      <c r="C34" s="29" t="s">
        <v>53</v>
      </c>
      <c r="D34" s="28">
        <f>Results!E3</f>
        <v>5</v>
      </c>
      <c r="E34" s="28">
        <f>Results!E1</f>
        <v>40</v>
      </c>
      <c r="F34" s="28">
        <f>E34*D34</f>
        <v>200</v>
      </c>
      <c r="G34" s="11">
        <f>Results!E2</f>
        <v>36</v>
      </c>
      <c r="H34" s="11">
        <f>D34*G34</f>
        <v>180</v>
      </c>
      <c r="I34" s="56" t="s">
        <v>24</v>
      </c>
      <c r="J34" s="56" t="s">
        <v>24</v>
      </c>
      <c r="M34" s="55"/>
      <c r="N34" s="55"/>
    </row>
    <row r="35" spans="1:14" ht="15">
      <c r="A35" s="45" t="s">
        <v>31</v>
      </c>
      <c r="F35" s="28">
        <f>F34</f>
        <v>200</v>
      </c>
      <c r="H35" s="11">
        <f>H34</f>
        <v>180</v>
      </c>
      <c r="J35" s="56" t="s">
        <v>24</v>
      </c>
      <c r="M35" s="55"/>
      <c r="N35" s="55"/>
    </row>
    <row r="36" spans="13:14" ht="15">
      <c r="M36" s="55"/>
      <c r="N36" s="55"/>
    </row>
    <row r="37" spans="1:14" ht="15">
      <c r="A37" s="45" t="s">
        <v>32</v>
      </c>
      <c r="M37" s="55"/>
      <c r="N37" s="65" t="s">
        <v>0</v>
      </c>
    </row>
    <row r="38" spans="1:14" ht="15">
      <c r="A38" s="45" t="s">
        <v>54</v>
      </c>
      <c r="C38" s="29" t="s">
        <v>53</v>
      </c>
      <c r="D38" s="28">
        <f aca="true" t="shared" si="0" ref="D38:D43">I4</f>
        <v>12</v>
      </c>
      <c r="E38" s="32">
        <f aca="true" t="shared" si="1" ref="E38:E43">D4</f>
        <v>1</v>
      </c>
      <c r="F38" s="28">
        <f aca="true" t="shared" si="2" ref="F38:F49">D38*E38</f>
        <v>12</v>
      </c>
      <c r="G38" s="11">
        <f aca="true" t="shared" si="3" ref="G38:G43">E4</f>
        <v>1.5</v>
      </c>
      <c r="H38" s="11">
        <f aca="true" t="shared" si="4" ref="H38:H49">D38*G38</f>
        <v>18</v>
      </c>
      <c r="I38" s="11">
        <f aca="true" t="shared" si="5" ref="I38:I43">F4</f>
        <v>0</v>
      </c>
      <c r="J38" s="11">
        <f>D38*I38</f>
        <v>0</v>
      </c>
      <c r="M38" s="55"/>
      <c r="N38" s="55"/>
    </row>
    <row r="39" spans="1:14" ht="15">
      <c r="A39" s="45" t="s">
        <v>55</v>
      </c>
      <c r="C39" s="29" t="s">
        <v>36</v>
      </c>
      <c r="D39" s="28">
        <f t="shared" si="0"/>
        <v>0.5</v>
      </c>
      <c r="E39" s="32">
        <f t="shared" si="1"/>
        <v>60</v>
      </c>
      <c r="F39" s="28">
        <f t="shared" si="2"/>
        <v>30</v>
      </c>
      <c r="G39" s="11">
        <f t="shared" si="3"/>
        <v>90</v>
      </c>
      <c r="H39" s="11">
        <f t="shared" si="4"/>
        <v>45</v>
      </c>
      <c r="I39" s="11">
        <f t="shared" si="5"/>
        <v>0</v>
      </c>
      <c r="J39" s="11">
        <f aca="true" t="shared" si="6" ref="J39:J49">D39*I39</f>
        <v>0</v>
      </c>
      <c r="M39" s="55"/>
      <c r="N39" s="65" t="s">
        <v>0</v>
      </c>
    </row>
    <row r="40" spans="1:14" ht="15">
      <c r="A40" s="45" t="s">
        <v>56</v>
      </c>
      <c r="C40" s="29" t="s">
        <v>36</v>
      </c>
      <c r="D40" s="28">
        <f t="shared" si="0"/>
        <v>0.46</v>
      </c>
      <c r="E40" s="32">
        <f t="shared" si="1"/>
        <v>20</v>
      </c>
      <c r="F40" s="28">
        <f t="shared" si="2"/>
        <v>9.200000000000001</v>
      </c>
      <c r="G40" s="11">
        <f t="shared" si="3"/>
        <v>20</v>
      </c>
      <c r="H40" s="11">
        <f t="shared" si="4"/>
        <v>9.200000000000001</v>
      </c>
      <c r="I40" s="11">
        <f t="shared" si="5"/>
        <v>0</v>
      </c>
      <c r="J40" s="11">
        <f t="shared" si="6"/>
        <v>0</v>
      </c>
      <c r="M40" s="55"/>
      <c r="N40" s="65" t="s">
        <v>0</v>
      </c>
    </row>
    <row r="41" spans="1:14" ht="15">
      <c r="A41" s="45" t="s">
        <v>57</v>
      </c>
      <c r="C41" s="29" t="s">
        <v>36</v>
      </c>
      <c r="D41" s="28">
        <f t="shared" si="0"/>
        <v>0</v>
      </c>
      <c r="E41" s="32">
        <f t="shared" si="1"/>
        <v>0</v>
      </c>
      <c r="F41" s="28">
        <f t="shared" si="2"/>
        <v>0</v>
      </c>
      <c r="G41" s="11">
        <f t="shared" si="3"/>
        <v>0</v>
      </c>
      <c r="H41" s="11">
        <f t="shared" si="4"/>
        <v>0</v>
      </c>
      <c r="I41" s="11">
        <f t="shared" si="5"/>
        <v>0</v>
      </c>
      <c r="J41" s="11">
        <f t="shared" si="6"/>
        <v>0</v>
      </c>
      <c r="M41" s="55"/>
      <c r="N41" s="55"/>
    </row>
    <row r="42" spans="1:14" ht="15">
      <c r="A42" s="45" t="s">
        <v>58</v>
      </c>
      <c r="C42" s="29" t="s">
        <v>59</v>
      </c>
      <c r="D42" s="28">
        <f t="shared" si="0"/>
        <v>15</v>
      </c>
      <c r="E42" s="28">
        <f t="shared" si="1"/>
        <v>1</v>
      </c>
      <c r="F42" s="28">
        <f t="shared" si="2"/>
        <v>15</v>
      </c>
      <c r="G42" s="11">
        <f t="shared" si="3"/>
        <v>1</v>
      </c>
      <c r="H42" s="11">
        <f t="shared" si="4"/>
        <v>15</v>
      </c>
      <c r="I42" s="11">
        <f t="shared" si="5"/>
        <v>0</v>
      </c>
      <c r="J42" s="11">
        <f t="shared" si="6"/>
        <v>0</v>
      </c>
      <c r="M42" s="55"/>
      <c r="N42" s="55"/>
    </row>
    <row r="43" spans="1:14" ht="15">
      <c r="A43" s="45" t="s">
        <v>60</v>
      </c>
      <c r="C43" s="29" t="s">
        <v>59</v>
      </c>
      <c r="D43" s="28">
        <f t="shared" si="0"/>
        <v>8</v>
      </c>
      <c r="E43" s="28">
        <f t="shared" si="1"/>
        <v>1</v>
      </c>
      <c r="F43" s="28">
        <f t="shared" si="2"/>
        <v>8</v>
      </c>
      <c r="G43" s="11">
        <f t="shared" si="3"/>
        <v>1</v>
      </c>
      <c r="H43" s="11">
        <f t="shared" si="4"/>
        <v>8</v>
      </c>
      <c r="I43" s="11">
        <f t="shared" si="5"/>
        <v>0</v>
      </c>
      <c r="J43" s="11">
        <f t="shared" si="6"/>
        <v>0</v>
      </c>
      <c r="M43" s="55"/>
      <c r="N43" s="55"/>
    </row>
    <row r="44" spans="1:14" ht="15">
      <c r="A44" s="45" t="s">
        <v>61</v>
      </c>
      <c r="C44" s="29" t="s">
        <v>62</v>
      </c>
      <c r="D44" s="28">
        <f>IF(Results!E1&lt;20,I10,I10+(I11*(Results!E1-20)))</f>
        <v>24</v>
      </c>
      <c r="E44" s="28">
        <v>1</v>
      </c>
      <c r="F44" s="28">
        <f t="shared" si="2"/>
        <v>24</v>
      </c>
      <c r="G44" s="11" t="s">
        <v>0</v>
      </c>
      <c r="H44" s="28">
        <f>IF(Results!E2&lt;20,I10,I10+(I11*(Results!E2-20)))</f>
        <v>23.2</v>
      </c>
      <c r="M44" s="55"/>
      <c r="N44" s="55"/>
    </row>
    <row r="45" spans="1:14" ht="15">
      <c r="A45" s="45" t="s">
        <v>42</v>
      </c>
      <c r="C45" s="29" t="s">
        <v>62</v>
      </c>
      <c r="D45" s="28">
        <v>1</v>
      </c>
      <c r="E45" s="32">
        <f>D12</f>
        <v>16</v>
      </c>
      <c r="F45" s="28">
        <f t="shared" si="2"/>
        <v>16</v>
      </c>
      <c r="G45" s="11">
        <f>E12</f>
        <v>16</v>
      </c>
      <c r="H45" s="11">
        <f t="shared" si="4"/>
        <v>16</v>
      </c>
      <c r="I45" s="11">
        <f>F12</f>
        <v>0</v>
      </c>
      <c r="J45" s="11">
        <f t="shared" si="6"/>
        <v>0</v>
      </c>
      <c r="M45" s="55"/>
      <c r="N45" s="55"/>
    </row>
    <row r="46" spans="1:14" ht="15">
      <c r="A46" s="45" t="s">
        <v>43</v>
      </c>
      <c r="C46" s="29" t="s">
        <v>62</v>
      </c>
      <c r="D46" s="28">
        <f>IF(Results!J6&lt;1,Results!J6,Results!J6/100)</f>
        <v>0.1</v>
      </c>
      <c r="E46" s="28">
        <f>(SUM(F38:F43)+F45+F47)*(270/360)</f>
        <v>67.65</v>
      </c>
      <c r="F46" s="28">
        <f t="shared" si="2"/>
        <v>6.765000000000001</v>
      </c>
      <c r="G46" s="28">
        <f>(SUM(H38:H43)+H45+H47)*(270/360)</f>
        <v>83.4</v>
      </c>
      <c r="H46" s="11">
        <f t="shared" si="4"/>
        <v>8.340000000000002</v>
      </c>
      <c r="I46" s="28">
        <f>(SUM(J38:J43)+J45+J47+J49)*(270/360)</f>
        <v>0</v>
      </c>
      <c r="J46" s="11">
        <f t="shared" si="6"/>
        <v>0</v>
      </c>
      <c r="M46" s="55"/>
      <c r="N46" s="55"/>
    </row>
    <row r="47" spans="1:14" ht="15">
      <c r="A47" s="45" t="s">
        <v>45</v>
      </c>
      <c r="C47" s="29" t="s">
        <v>104</v>
      </c>
      <c r="D47" s="28">
        <f>Results!J7</f>
        <v>0</v>
      </c>
      <c r="E47" s="32">
        <f>D13</f>
        <v>1</v>
      </c>
      <c r="F47" s="28">
        <f t="shared" si="2"/>
        <v>0</v>
      </c>
      <c r="G47" s="11">
        <f>E13</f>
        <v>1</v>
      </c>
      <c r="H47" s="11">
        <f t="shared" si="4"/>
        <v>0</v>
      </c>
      <c r="I47" s="11">
        <f>F13</f>
        <v>0</v>
      </c>
      <c r="J47" s="11">
        <f t="shared" si="6"/>
        <v>0</v>
      </c>
      <c r="M47" s="55"/>
      <c r="N47" s="55"/>
    </row>
    <row r="48" spans="1:14" ht="15">
      <c r="A48" s="45" t="s">
        <v>63</v>
      </c>
      <c r="C48" s="29" t="s">
        <v>53</v>
      </c>
      <c r="D48" s="28">
        <f>I12</f>
        <v>0.2</v>
      </c>
      <c r="E48" s="57">
        <f>Results!E1</f>
        <v>40</v>
      </c>
      <c r="F48" s="28">
        <f t="shared" si="2"/>
        <v>8</v>
      </c>
      <c r="G48" s="11">
        <f>Results!E2</f>
        <v>36</v>
      </c>
      <c r="H48" s="11">
        <f t="shared" si="4"/>
        <v>7.2</v>
      </c>
      <c r="M48" s="55"/>
      <c r="N48" s="55"/>
    </row>
    <row r="49" spans="1:10" ht="15">
      <c r="A49" s="45" t="s">
        <v>48</v>
      </c>
      <c r="C49" s="29" t="s">
        <v>62</v>
      </c>
      <c r="D49" s="28">
        <f>I13</f>
        <v>0</v>
      </c>
      <c r="E49" s="32">
        <v>1</v>
      </c>
      <c r="F49" s="28">
        <f t="shared" si="2"/>
        <v>0</v>
      </c>
      <c r="G49" s="11">
        <v>1</v>
      </c>
      <c r="H49" s="11">
        <f t="shared" si="4"/>
        <v>0</v>
      </c>
      <c r="I49" s="11">
        <v>1</v>
      </c>
      <c r="J49" s="11">
        <f t="shared" si="6"/>
        <v>0</v>
      </c>
    </row>
    <row r="50" spans="1:14" ht="15">
      <c r="A50" s="45" t="s">
        <v>49</v>
      </c>
      <c r="F50" s="28">
        <f>SUM(F38:F49)</f>
        <v>128.965</v>
      </c>
      <c r="H50" s="28">
        <f>SUM(H38:H49)</f>
        <v>149.94</v>
      </c>
      <c r="J50" s="28">
        <f>SUM(J38:J49)</f>
        <v>0</v>
      </c>
      <c r="M50" s="58"/>
      <c r="N50" s="58"/>
    </row>
    <row r="52" spans="1:10" ht="15">
      <c r="A52" s="45" t="s">
        <v>65</v>
      </c>
      <c r="F52" s="28">
        <f>F35-F50</f>
        <v>71.035</v>
      </c>
      <c r="H52" s="28">
        <f>H35-H50</f>
        <v>30.060000000000002</v>
      </c>
      <c r="J52" s="28">
        <f>-J50</f>
        <v>0</v>
      </c>
    </row>
    <row r="53" ht="15">
      <c r="C53" s="27" t="s">
        <v>64</v>
      </c>
    </row>
    <row r="54" spans="1:8" ht="15">
      <c r="A54" s="45" t="s">
        <v>66</v>
      </c>
      <c r="F54" s="32">
        <f>F50/E34</f>
        <v>3.224125</v>
      </c>
      <c r="H54" s="32">
        <f>H50/G34</f>
        <v>4.165</v>
      </c>
    </row>
    <row r="56" spans="1:8" ht="15">
      <c r="A56" s="45" t="s">
        <v>67</v>
      </c>
      <c r="F56" s="32">
        <f>F50/D34</f>
        <v>25.793</v>
      </c>
      <c r="H56" s="32">
        <f>H50/D34</f>
        <v>29.988</v>
      </c>
    </row>
    <row r="59" spans="2:7" ht="15">
      <c r="B59" s="27"/>
      <c r="D59" s="53"/>
      <c r="E59" s="53"/>
      <c r="F59" s="53"/>
      <c r="G59" s="53"/>
    </row>
    <row r="60" ht="15">
      <c r="B60" s="27"/>
    </row>
    <row r="61" spans="2:7" ht="15">
      <c r="B61" s="27"/>
      <c r="D61" s="29"/>
      <c r="E61" s="28"/>
      <c r="F61" s="28"/>
      <c r="G61" s="28"/>
    </row>
    <row r="62" spans="2:7" ht="15">
      <c r="B62" s="27"/>
      <c r="G62" s="28"/>
    </row>
    <row r="64" ht="15">
      <c r="B64" s="27"/>
    </row>
    <row r="65" spans="2:7" ht="15">
      <c r="B65" s="27"/>
      <c r="D65" s="29"/>
      <c r="E65" s="28"/>
      <c r="F65" s="32"/>
      <c r="G65" s="28"/>
    </row>
    <row r="66" spans="2:7" ht="15">
      <c r="B66" s="27"/>
      <c r="D66" s="29"/>
      <c r="E66" s="28"/>
      <c r="F66" s="32"/>
      <c r="G66" s="28"/>
    </row>
    <row r="67" spans="2:7" ht="15">
      <c r="B67" s="27"/>
      <c r="D67" s="29"/>
      <c r="E67" s="28"/>
      <c r="F67" s="32"/>
      <c r="G67" s="28"/>
    </row>
    <row r="68" spans="2:7" ht="15">
      <c r="B68" s="27"/>
      <c r="D68" s="29"/>
      <c r="E68" s="28"/>
      <c r="F68" s="32"/>
      <c r="G68" s="28"/>
    </row>
    <row r="69" spans="2:7" ht="15">
      <c r="B69" s="27"/>
      <c r="D69" s="29"/>
      <c r="E69" s="28"/>
      <c r="F69" s="28"/>
      <c r="G69" s="28"/>
    </row>
    <row r="70" spans="2:7" ht="15">
      <c r="B70" s="27"/>
      <c r="D70" s="29"/>
      <c r="E70" s="28"/>
      <c r="F70" s="28"/>
      <c r="G70" s="28"/>
    </row>
    <row r="71" spans="2:7" ht="15">
      <c r="B71" s="27"/>
      <c r="D71" s="29"/>
      <c r="E71" s="28"/>
      <c r="F71" s="28"/>
      <c r="G71" s="28"/>
    </row>
    <row r="72" spans="2:7" ht="15">
      <c r="B72" s="27"/>
      <c r="D72" s="29"/>
      <c r="E72" s="28"/>
      <c r="F72" s="32"/>
      <c r="G72" s="28"/>
    </row>
    <row r="73" spans="2:7" ht="15">
      <c r="B73" s="27"/>
      <c r="D73" s="29"/>
      <c r="E73" s="28"/>
      <c r="F73" s="28"/>
      <c r="G73" s="28"/>
    </row>
    <row r="74" spans="2:7" ht="15">
      <c r="B74" s="27"/>
      <c r="D74" s="29"/>
      <c r="E74" s="28"/>
      <c r="F74" s="32"/>
      <c r="G74" s="28"/>
    </row>
    <row r="75" spans="2:7" ht="15">
      <c r="B75" s="27"/>
      <c r="D75" s="29"/>
      <c r="E75" s="28"/>
      <c r="F75" s="57"/>
      <c r="G75" s="28"/>
    </row>
    <row r="76" spans="2:7" ht="15">
      <c r="B76" s="27"/>
      <c r="D76" s="29"/>
      <c r="E76" s="28"/>
      <c r="F76" s="32"/>
      <c r="G76" s="28"/>
    </row>
    <row r="77" spans="2:7" ht="15">
      <c r="B77" s="27"/>
      <c r="G77" s="28"/>
    </row>
    <row r="79" spans="2:7" ht="15">
      <c r="B79" s="27"/>
      <c r="G79" s="28"/>
    </row>
    <row r="80" ht="15">
      <c r="D80" s="27"/>
    </row>
    <row r="81" spans="2:7" ht="15">
      <c r="B81" s="27"/>
      <c r="G81" s="32"/>
    </row>
    <row r="83" spans="2:7" ht="15">
      <c r="B83" s="27"/>
      <c r="G83" s="32"/>
    </row>
    <row r="88" spans="11:14" ht="15">
      <c r="K88" s="51"/>
      <c r="N88" s="51"/>
    </row>
    <row r="89" spans="2:14" ht="15">
      <c r="B89" s="28"/>
      <c r="C89" s="28"/>
      <c r="D89" s="28"/>
      <c r="E89" s="28"/>
      <c r="F89" s="28"/>
      <c r="G89" s="28"/>
      <c r="H89" s="28"/>
      <c r="K89" s="51"/>
      <c r="N89" s="51"/>
    </row>
    <row r="91" ht="15">
      <c r="I91" s="27" t="s">
        <v>0</v>
      </c>
    </row>
    <row r="92" spans="9:12" ht="15">
      <c r="I92" s="59"/>
      <c r="L92" s="32"/>
    </row>
    <row r="93" spans="9:13" ht="15">
      <c r="I93" s="60"/>
      <c r="J93" s="60"/>
      <c r="K93" s="60"/>
      <c r="L93" s="60"/>
      <c r="M93" s="60"/>
    </row>
    <row r="94" spans="9:12" ht="15">
      <c r="I94" s="59"/>
      <c r="J94" s="61"/>
      <c r="K94" s="27"/>
      <c r="L94" s="27"/>
    </row>
    <row r="95" spans="9:13" ht="15">
      <c r="I95" s="60"/>
      <c r="J95" s="60"/>
      <c r="K95" s="60"/>
      <c r="L95" s="60"/>
      <c r="M95" s="60"/>
    </row>
    <row r="96" spans="9:13" ht="15">
      <c r="I96" s="27"/>
      <c r="M96" s="27"/>
    </row>
    <row r="97" spans="9:13" ht="15">
      <c r="I97" s="27"/>
      <c r="J97" s="61"/>
      <c r="M97" s="27"/>
    </row>
    <row r="98" spans="9:13" ht="15">
      <c r="I98" s="27"/>
      <c r="J98" s="30"/>
      <c r="M98" s="62"/>
    </row>
    <row r="99" spans="9:11" ht="15">
      <c r="I99" s="59"/>
      <c r="J99" s="63"/>
      <c r="K99" s="59"/>
    </row>
    <row r="101" spans="9:11" ht="15">
      <c r="I101" s="59" t="s">
        <v>0</v>
      </c>
      <c r="J101" s="64" t="s">
        <v>0</v>
      </c>
      <c r="K101" s="59" t="s">
        <v>0</v>
      </c>
    </row>
    <row r="102" spans="9:11" ht="15">
      <c r="I102" s="59" t="s">
        <v>0</v>
      </c>
      <c r="J102" s="64" t="s">
        <v>0</v>
      </c>
      <c r="K102" s="59" t="s">
        <v>0</v>
      </c>
    </row>
    <row r="105" ht="15">
      <c r="L105" s="27" t="s">
        <v>0</v>
      </c>
    </row>
    <row r="106" spans="9:11" ht="15">
      <c r="I106" s="59" t="s">
        <v>0</v>
      </c>
      <c r="K106" s="32" t="s">
        <v>0</v>
      </c>
    </row>
    <row r="107" spans="9:12" ht="15">
      <c r="I107" s="27" t="s">
        <v>0</v>
      </c>
      <c r="J107" s="27" t="s">
        <v>0</v>
      </c>
      <c r="K107" s="27" t="s">
        <v>0</v>
      </c>
      <c r="L107" s="27" t="s">
        <v>0</v>
      </c>
    </row>
    <row r="109" ht="15">
      <c r="I109" s="59" t="s">
        <v>0</v>
      </c>
    </row>
    <row r="110" spans="9:12" ht="15">
      <c r="I110" s="27" t="s">
        <v>0</v>
      </c>
      <c r="J110" s="27" t="s">
        <v>0</v>
      </c>
      <c r="K110" s="27" t="s">
        <v>0</v>
      </c>
      <c r="L110" s="27" t="s">
        <v>0</v>
      </c>
    </row>
    <row r="115" spans="6:13" ht="15">
      <c r="F115" s="30"/>
      <c r="G115" s="32"/>
      <c r="M115" s="27" t="s">
        <v>0</v>
      </c>
    </row>
    <row r="116" spans="6:12" ht="15">
      <c r="F116" s="30"/>
      <c r="G116" s="32"/>
      <c r="I116" s="59" t="s">
        <v>0</v>
      </c>
      <c r="J116" s="65" t="s">
        <v>0</v>
      </c>
      <c r="K116" s="65" t="s">
        <v>0</v>
      </c>
      <c r="L116" s="65" t="s">
        <v>0</v>
      </c>
    </row>
    <row r="117" spans="6:12" ht="15">
      <c r="F117" s="30"/>
      <c r="G117" s="32"/>
      <c r="I117" s="59" t="s">
        <v>0</v>
      </c>
      <c r="J117" s="65" t="s">
        <v>0</v>
      </c>
      <c r="K117" s="65" t="s">
        <v>0</v>
      </c>
      <c r="L117" s="65" t="s">
        <v>0</v>
      </c>
    </row>
    <row r="118" spans="6:12" ht="15">
      <c r="F118" s="30"/>
      <c r="G118" s="32"/>
      <c r="I118" s="59" t="s">
        <v>0</v>
      </c>
      <c r="J118" s="65" t="s">
        <v>0</v>
      </c>
      <c r="K118" s="65" t="s">
        <v>0</v>
      </c>
      <c r="L118" s="65" t="s">
        <v>0</v>
      </c>
    </row>
    <row r="119" spans="6:12" ht="15">
      <c r="F119" s="30"/>
      <c r="G119" s="32"/>
      <c r="I119" s="59" t="s">
        <v>0</v>
      </c>
      <c r="J119" s="66" t="s">
        <v>0</v>
      </c>
      <c r="K119" s="66" t="s">
        <v>0</v>
      </c>
      <c r="L119" s="66" t="s">
        <v>0</v>
      </c>
    </row>
    <row r="120" spans="6:9" ht="15">
      <c r="F120" s="30"/>
      <c r="G120" s="32"/>
      <c r="I120" s="59" t="s">
        <v>0</v>
      </c>
    </row>
    <row r="121" spans="6:7" ht="15">
      <c r="F121" s="30"/>
      <c r="G121" s="32"/>
    </row>
    <row r="122" spans="6:12" ht="15">
      <c r="F122" s="30"/>
      <c r="G122" s="32"/>
      <c r="I122" s="27" t="s">
        <v>0</v>
      </c>
      <c r="J122" s="27" t="s">
        <v>0</v>
      </c>
      <c r="K122" s="27" t="s">
        <v>0</v>
      </c>
      <c r="L122" s="27" t="s">
        <v>0</v>
      </c>
    </row>
    <row r="123" spans="6:7" ht="15">
      <c r="F123" s="30"/>
      <c r="G123" s="32"/>
    </row>
    <row r="124" spans="6:7" ht="15">
      <c r="F124" s="30"/>
      <c r="G124" s="32"/>
    </row>
  </sheetData>
  <sheetProtection/>
  <printOptions/>
  <pageMargins left="0.75" right="0.75" top="1" bottom="1" header="0.5" footer="0.5"/>
  <pageSetup fitToHeight="1" fitToWidth="1" horizontalDpi="300" verticalDpi="300" orientation="portrait" scale="3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112"/>
  <sheetViews>
    <sheetView defaultGridColor="0" zoomScale="90" zoomScaleNormal="90" zoomScalePageLayoutView="0" colorId="9" workbookViewId="0" topLeftCell="A1">
      <selection activeCell="A1" sqref="A1"/>
    </sheetView>
  </sheetViews>
  <sheetFormatPr defaultColWidth="9.00390625" defaultRowHeight="12.75"/>
  <cols>
    <col min="1" max="1" width="9.00390625" style="11" customWidth="1"/>
    <col min="2" max="2" width="11.875" style="11" customWidth="1"/>
    <col min="3" max="3" width="11.75390625" style="11" customWidth="1"/>
    <col min="4" max="4" width="10.125" style="11" customWidth="1"/>
    <col min="5" max="5" width="9.75390625" style="11" customWidth="1"/>
    <col min="6" max="6" width="16.375" style="11" customWidth="1"/>
    <col min="7" max="7" width="11.50390625" style="11" bestFit="1" customWidth="1"/>
    <col min="8" max="11" width="9.00390625" style="11" customWidth="1"/>
    <col min="12" max="12" width="9.875" style="11" bestFit="1" customWidth="1"/>
    <col min="13" max="16384" width="9.00390625" style="11" customWidth="1"/>
  </cols>
  <sheetData>
    <row r="1" spans="1:6" ht="15.75">
      <c r="A1" s="42"/>
      <c r="B1" s="71" t="s">
        <v>136</v>
      </c>
      <c r="D1" s="66"/>
      <c r="E1" s="67"/>
      <c r="F1" s="67"/>
    </row>
    <row r="2" spans="1:2" ht="15">
      <c r="A2" s="42"/>
      <c r="B2" s="27" t="s">
        <v>0</v>
      </c>
    </row>
    <row r="3" spans="1:7" ht="15">
      <c r="A3" s="34" t="s">
        <v>134</v>
      </c>
      <c r="B3" s="7"/>
      <c r="C3" s="7"/>
      <c r="D3" s="72">
        <v>14</v>
      </c>
      <c r="E3" s="18" t="s">
        <v>147</v>
      </c>
      <c r="G3" s="46">
        <v>12</v>
      </c>
    </row>
    <row r="4" spans="1:7" ht="15">
      <c r="A4" s="34" t="s">
        <v>133</v>
      </c>
      <c r="B4" s="7"/>
      <c r="C4" s="7"/>
      <c r="D4" s="50">
        <v>2</v>
      </c>
      <c r="E4" s="38" t="s">
        <v>78</v>
      </c>
      <c r="F4" s="31"/>
      <c r="G4" s="46">
        <v>2</v>
      </c>
    </row>
    <row r="5" spans="1:7" ht="15">
      <c r="A5" s="18" t="s">
        <v>137</v>
      </c>
      <c r="B5" s="7"/>
      <c r="C5" s="7"/>
      <c r="D5" s="72">
        <v>105</v>
      </c>
      <c r="E5" s="18" t="s">
        <v>79</v>
      </c>
      <c r="G5" s="46">
        <v>0.6</v>
      </c>
    </row>
    <row r="6" spans="1:7" ht="15">
      <c r="A6" s="38" t="s">
        <v>8</v>
      </c>
      <c r="B6" s="35"/>
      <c r="C6" s="7"/>
      <c r="D6" s="103">
        <v>2</v>
      </c>
      <c r="E6" s="18" t="s">
        <v>148</v>
      </c>
      <c r="G6" s="46">
        <v>0</v>
      </c>
    </row>
    <row r="7" spans="5:7" ht="15">
      <c r="E7" s="38" t="s">
        <v>77</v>
      </c>
      <c r="F7" s="31"/>
      <c r="G7" s="46">
        <v>0</v>
      </c>
    </row>
    <row r="8" spans="5:9" ht="15">
      <c r="E8" s="38" t="s">
        <v>149</v>
      </c>
      <c r="F8" s="31"/>
      <c r="G8" s="46">
        <v>15</v>
      </c>
      <c r="I8" s="11" t="s">
        <v>0</v>
      </c>
    </row>
    <row r="9" spans="5:7" ht="15">
      <c r="E9" s="38" t="s">
        <v>150</v>
      </c>
      <c r="F9" s="31"/>
      <c r="G9" s="46">
        <v>0</v>
      </c>
    </row>
    <row r="10" spans="6:7" ht="15.75">
      <c r="F10" s="21" t="s">
        <v>23</v>
      </c>
      <c r="G10" s="102" t="s">
        <v>33</v>
      </c>
    </row>
    <row r="11" spans="1:8" ht="15.75">
      <c r="A11" s="21" t="s">
        <v>13</v>
      </c>
      <c r="C11" s="93" t="s">
        <v>69</v>
      </c>
      <c r="D11" s="38" t="s">
        <v>135</v>
      </c>
      <c r="E11" s="101" t="s">
        <v>70</v>
      </c>
      <c r="F11" s="98" t="s">
        <v>130</v>
      </c>
      <c r="G11" s="46">
        <v>0.05</v>
      </c>
      <c r="H11" s="31"/>
    </row>
    <row r="12" spans="1:8" ht="15">
      <c r="A12" s="18" t="s">
        <v>15</v>
      </c>
      <c r="C12" s="47">
        <v>38</v>
      </c>
      <c r="D12" s="46">
        <v>10</v>
      </c>
      <c r="E12" s="46">
        <v>0.03</v>
      </c>
      <c r="F12" s="98" t="s">
        <v>128</v>
      </c>
      <c r="G12" s="48">
        <v>0.01</v>
      </c>
      <c r="H12" s="76"/>
    </row>
    <row r="13" spans="1:8" ht="15">
      <c r="A13" s="18" t="s">
        <v>18</v>
      </c>
      <c r="C13" s="47">
        <v>0</v>
      </c>
      <c r="D13" s="46">
        <v>4.1546</v>
      </c>
      <c r="E13" s="46">
        <v>0.07</v>
      </c>
      <c r="F13" s="24"/>
      <c r="G13" s="99" t="s">
        <v>127</v>
      </c>
      <c r="H13" s="76"/>
    </row>
    <row r="14" spans="1:8" ht="15" thickBot="1">
      <c r="A14" s="18" t="s">
        <v>20</v>
      </c>
      <c r="C14" s="77">
        <v>120</v>
      </c>
      <c r="D14" s="78">
        <v>0.07</v>
      </c>
      <c r="E14" s="78">
        <v>0.09</v>
      </c>
      <c r="F14" s="98" t="s">
        <v>129</v>
      </c>
      <c r="G14" s="78">
        <v>0</v>
      </c>
      <c r="H14" s="76" t="s">
        <v>0</v>
      </c>
    </row>
    <row r="15" spans="1:10" ht="4.5" customHeight="1" thickBot="1" thickTop="1">
      <c r="A15" s="79" t="s">
        <v>0</v>
      </c>
      <c r="B15" s="79"/>
      <c r="C15" s="79"/>
      <c r="D15" s="79"/>
      <c r="E15" s="80"/>
      <c r="F15" s="80"/>
      <c r="G15" s="79"/>
      <c r="H15" s="81"/>
      <c r="J15" s="11" t="s">
        <v>0</v>
      </c>
    </row>
    <row r="16" spans="1:6" ht="15.75" thickTop="1">
      <c r="A16" s="31"/>
      <c r="B16" s="21"/>
      <c r="C16" s="31"/>
      <c r="D16" s="28"/>
      <c r="E16" s="28"/>
      <c r="F16" s="28"/>
    </row>
    <row r="17" spans="1:5" ht="15">
      <c r="A17" s="27"/>
      <c r="E17" s="27"/>
    </row>
    <row r="18" spans="1:6" ht="15">
      <c r="A18" s="38"/>
      <c r="B18" s="28"/>
      <c r="E18" s="38"/>
      <c r="F18" s="28"/>
    </row>
    <row r="19" spans="1:6" ht="15">
      <c r="A19" s="34"/>
      <c r="E19" s="38"/>
      <c r="F19" s="28"/>
    </row>
    <row r="20" spans="5:6" ht="15">
      <c r="E20" s="38"/>
      <c r="F20" s="28"/>
    </row>
    <row r="21" spans="5:6" ht="15">
      <c r="E21" s="38"/>
      <c r="F21" s="31"/>
    </row>
    <row r="22" spans="1:8" ht="15">
      <c r="A22" s="82"/>
      <c r="B22" s="28"/>
      <c r="E22" s="31"/>
      <c r="F22" s="82"/>
      <c r="H22" s="74"/>
    </row>
    <row r="23" spans="1:8" ht="15">
      <c r="A23" s="38"/>
      <c r="B23" s="28"/>
      <c r="E23" s="30"/>
      <c r="F23" s="93"/>
      <c r="H23" s="76"/>
    </row>
    <row r="24" spans="1:8" ht="15">
      <c r="A24" s="38"/>
      <c r="B24" s="28"/>
      <c r="E24" s="30"/>
      <c r="F24" s="24"/>
      <c r="H24" s="100"/>
    </row>
    <row r="25" spans="1:6" ht="15">
      <c r="A25" s="38"/>
      <c r="B25" s="28"/>
      <c r="E25" s="30"/>
      <c r="F25" s="93"/>
    </row>
    <row r="26" spans="1:6" ht="15">
      <c r="A26" s="28"/>
      <c r="B26" s="28"/>
      <c r="C26" s="28"/>
      <c r="F26" s="28"/>
    </row>
    <row r="27" spans="2:6" ht="15">
      <c r="B27" s="28"/>
      <c r="F27" s="28"/>
    </row>
    <row r="28" spans="2:6" ht="15">
      <c r="B28" s="28"/>
      <c r="F28" s="28"/>
    </row>
    <row r="29" spans="2:6" ht="15">
      <c r="B29" s="28"/>
      <c r="F29" s="28"/>
    </row>
    <row r="30" spans="2:6" ht="15">
      <c r="B30" s="28"/>
      <c r="F30" s="28"/>
    </row>
    <row r="31" spans="2:6" ht="15">
      <c r="B31" s="28"/>
      <c r="F31" s="28"/>
    </row>
    <row r="32" spans="2:6" ht="15">
      <c r="B32" s="28"/>
      <c r="F32" s="28"/>
    </row>
    <row r="33" spans="2:6" ht="15">
      <c r="B33" s="28"/>
      <c r="F33" s="28"/>
    </row>
    <row r="34" spans="2:6" ht="15">
      <c r="B34" s="28"/>
      <c r="F34" s="28"/>
    </row>
    <row r="35" spans="2:6" ht="15">
      <c r="B35" s="28"/>
      <c r="F35" s="28"/>
    </row>
    <row r="36" spans="2:6" ht="15">
      <c r="B36" s="28"/>
      <c r="F36" s="28"/>
    </row>
    <row r="37" spans="2:6" ht="15">
      <c r="B37" s="28"/>
      <c r="F37" s="28"/>
    </row>
    <row r="38" spans="2:6" ht="15">
      <c r="B38" s="28"/>
      <c r="F38" s="28"/>
    </row>
    <row r="39" spans="2:6" ht="15">
      <c r="B39" s="28"/>
      <c r="F39" s="28"/>
    </row>
    <row r="40" spans="2:6" ht="15">
      <c r="B40" s="28"/>
      <c r="F40" s="28"/>
    </row>
    <row r="41" spans="2:6" ht="15">
      <c r="B41" s="28"/>
      <c r="F41" s="28"/>
    </row>
    <row r="42" spans="2:6" ht="15">
      <c r="B42" s="28"/>
      <c r="F42" s="28"/>
    </row>
    <row r="43" spans="2:6" ht="15">
      <c r="B43" s="28"/>
      <c r="F43" s="28"/>
    </row>
    <row r="44" spans="2:6" ht="15">
      <c r="B44" s="28"/>
      <c r="F44" s="28"/>
    </row>
    <row r="45" spans="5:7" ht="15">
      <c r="E45" s="83"/>
      <c r="G45" s="84"/>
    </row>
    <row r="46" spans="5:7" ht="15">
      <c r="E46" s="83"/>
      <c r="G46" s="84"/>
    </row>
    <row r="48" spans="9:13" ht="15">
      <c r="I48" s="11" t="s">
        <v>86</v>
      </c>
      <c r="M48" s="53"/>
    </row>
    <row r="49" spans="6:12" ht="15">
      <c r="F49" s="11" t="s">
        <v>0</v>
      </c>
      <c r="G49" s="11" t="s">
        <v>85</v>
      </c>
      <c r="I49" s="11" t="s">
        <v>92</v>
      </c>
      <c r="L49" s="11" t="s">
        <v>93</v>
      </c>
    </row>
    <row r="50" spans="1:13" ht="15">
      <c r="A50" s="27" t="s">
        <v>1</v>
      </c>
      <c r="D50" s="11" t="s">
        <v>51</v>
      </c>
      <c r="E50" s="53" t="s">
        <v>21</v>
      </c>
      <c r="F50" s="53" t="s">
        <v>90</v>
      </c>
      <c r="G50" s="53" t="s">
        <v>68</v>
      </c>
      <c r="H50" s="53" t="s">
        <v>21</v>
      </c>
      <c r="I50" s="53" t="s">
        <v>90</v>
      </c>
      <c r="J50" s="11" t="s">
        <v>68</v>
      </c>
      <c r="K50" s="53" t="s">
        <v>21</v>
      </c>
      <c r="L50" s="53" t="s">
        <v>27</v>
      </c>
      <c r="M50" s="53" t="s">
        <v>28</v>
      </c>
    </row>
    <row r="51" ht="15">
      <c r="A51" s="27" t="s">
        <v>30</v>
      </c>
    </row>
    <row r="52" spans="1:7" ht="15">
      <c r="A52" s="27" t="s">
        <v>87</v>
      </c>
      <c r="D52" s="75" t="s">
        <v>35</v>
      </c>
      <c r="E52" s="28">
        <f>IF(Results!E8&lt;10,Results!E8*100,Results!E8)</f>
        <v>115.5</v>
      </c>
      <c r="F52" s="28">
        <f>(Results!E4+($D$3*$D$4)+($D$5*Results!E6))*(1-($D$6/100))/100</f>
        <v>6.7424</v>
      </c>
      <c r="G52" s="28">
        <f>E52*F52</f>
        <v>778.7472</v>
      </c>
    </row>
    <row r="53" spans="1:10" ht="15">
      <c r="A53" s="27" t="s">
        <v>89</v>
      </c>
      <c r="D53" s="75" t="s">
        <v>36</v>
      </c>
      <c r="E53" s="28"/>
      <c r="F53" s="28"/>
      <c r="G53" s="28"/>
      <c r="H53" s="11">
        <f>Results!J4</f>
        <v>0.4</v>
      </c>
      <c r="I53" s="28">
        <f>((($D$3*$D$4)+($D$5*Results!E6))*(1-($D$6/100)))-(($D$6/100*Results!E4))</f>
        <v>224.24</v>
      </c>
      <c r="J53" s="11">
        <f>H53*I53</f>
        <v>89.69600000000001</v>
      </c>
    </row>
    <row r="54" spans="1:13" ht="15">
      <c r="A54" s="27" t="s">
        <v>88</v>
      </c>
      <c r="D54" s="75" t="s">
        <v>35</v>
      </c>
      <c r="E54" s="28"/>
      <c r="F54" s="28"/>
      <c r="G54" s="28"/>
      <c r="K54" s="28">
        <f>Results!J5</f>
        <v>4</v>
      </c>
      <c r="L54" s="11">
        <f>((F52+(Results!E4/100))/2)*(($D$3+$D$5)/30)</f>
        <v>22.297426666666667</v>
      </c>
      <c r="M54" s="11">
        <f>K54*L54</f>
        <v>89.18970666666667</v>
      </c>
    </row>
    <row r="55" spans="1:13" ht="15">
      <c r="A55" s="27" t="s">
        <v>31</v>
      </c>
      <c r="E55" s="27" t="s">
        <v>0</v>
      </c>
      <c r="G55" s="28">
        <f>G52</f>
        <v>778.7472</v>
      </c>
      <c r="J55" s="11">
        <f>+J53</f>
        <v>89.69600000000001</v>
      </c>
      <c r="M55" s="11">
        <f>M54</f>
        <v>89.18970666666667</v>
      </c>
    </row>
    <row r="56" ht="15">
      <c r="E56" s="27" t="s">
        <v>0</v>
      </c>
    </row>
    <row r="57" spans="1:5" ht="15">
      <c r="A57" s="27" t="s">
        <v>32</v>
      </c>
      <c r="E57" s="27" t="s">
        <v>0</v>
      </c>
    </row>
    <row r="58" spans="1:7" ht="15">
      <c r="A58" s="27" t="s">
        <v>34</v>
      </c>
      <c r="D58" s="53" t="s">
        <v>35</v>
      </c>
      <c r="E58" s="28">
        <f>IF(Results!E5&lt;10,Results!E5*100,Results!E5)</f>
        <v>134</v>
      </c>
      <c r="F58" s="28">
        <f>(Results!E4/100)</f>
        <v>4.5</v>
      </c>
      <c r="G58" s="28">
        <f aca="true" t="shared" si="0" ref="G58:G70">E58*F58</f>
        <v>603</v>
      </c>
    </row>
    <row r="59" spans="1:13" ht="15">
      <c r="A59" s="27" t="s">
        <v>18</v>
      </c>
      <c r="D59" s="53" t="s">
        <v>36</v>
      </c>
      <c r="E59" s="28">
        <f>E13</f>
        <v>0.07</v>
      </c>
      <c r="F59" s="32">
        <f>(C13*D13)</f>
        <v>0</v>
      </c>
      <c r="G59" s="28">
        <f t="shared" si="0"/>
        <v>0</v>
      </c>
      <c r="J59" s="11" t="s">
        <v>0</v>
      </c>
      <c r="M59" s="11" t="s">
        <v>0</v>
      </c>
    </row>
    <row r="60" spans="1:13" ht="15">
      <c r="A60" s="27" t="s">
        <v>15</v>
      </c>
      <c r="D60" s="53" t="s">
        <v>36</v>
      </c>
      <c r="E60" s="28">
        <f>E12</f>
        <v>0.03</v>
      </c>
      <c r="F60" s="32">
        <f>(C12*D12)</f>
        <v>380</v>
      </c>
      <c r="G60" s="28">
        <f t="shared" si="0"/>
        <v>11.4</v>
      </c>
      <c r="J60" s="11" t="s">
        <v>0</v>
      </c>
      <c r="M60" s="11" t="s">
        <v>0</v>
      </c>
    </row>
    <row r="61" spans="1:13" ht="15">
      <c r="A61" s="27" t="s">
        <v>37</v>
      </c>
      <c r="D61" s="53" t="s">
        <v>36</v>
      </c>
      <c r="E61" s="28">
        <f>E14</f>
        <v>0.09</v>
      </c>
      <c r="F61" s="32">
        <f>C14*D14</f>
        <v>8.4</v>
      </c>
      <c r="G61" s="32">
        <f t="shared" si="0"/>
        <v>0.756</v>
      </c>
      <c r="J61" s="11" t="s">
        <v>0</v>
      </c>
      <c r="M61" s="11" t="s">
        <v>0</v>
      </c>
    </row>
    <row r="62" spans="1:7" ht="15">
      <c r="A62" s="27" t="s">
        <v>38</v>
      </c>
      <c r="D62" s="53" t="s">
        <v>35</v>
      </c>
      <c r="E62" s="28">
        <f>G5</f>
        <v>0.6</v>
      </c>
      <c r="F62" s="28">
        <f>((Results!E4+($D$3*$D$4)+($D$5*Results!E6))*(1-$D$6/100))/100</f>
        <v>6.7424</v>
      </c>
      <c r="G62" s="28">
        <f t="shared" si="0"/>
        <v>4.04544</v>
      </c>
    </row>
    <row r="63" spans="1:7" ht="15">
      <c r="A63" s="27" t="s">
        <v>39</v>
      </c>
      <c r="D63" s="53" t="s">
        <v>35</v>
      </c>
      <c r="E63" s="28">
        <f>G4</f>
        <v>2</v>
      </c>
      <c r="F63" s="28">
        <f>((Results!E4+($D$3*$D$4)+($D$5*Results!E6))*(1-$D$6/100))/100</f>
        <v>6.7424</v>
      </c>
      <c r="G63" s="28">
        <f t="shared" si="0"/>
        <v>13.4848</v>
      </c>
    </row>
    <row r="64" spans="1:13" ht="15">
      <c r="A64" s="27" t="s">
        <v>40</v>
      </c>
      <c r="D64" s="53" t="s">
        <v>41</v>
      </c>
      <c r="E64" s="28">
        <f>G3</f>
        <v>12</v>
      </c>
      <c r="F64" s="32">
        <v>1</v>
      </c>
      <c r="G64" s="28">
        <f t="shared" si="0"/>
        <v>12</v>
      </c>
      <c r="J64" s="11" t="s">
        <v>0</v>
      </c>
      <c r="M64" s="11" t="s">
        <v>0</v>
      </c>
    </row>
    <row r="65" spans="1:13" ht="15">
      <c r="A65" s="27" t="s">
        <v>146</v>
      </c>
      <c r="D65" s="53" t="s">
        <v>41</v>
      </c>
      <c r="E65" s="28"/>
      <c r="F65" s="32"/>
      <c r="G65" s="28"/>
      <c r="J65" s="11">
        <f>G9</f>
        <v>0</v>
      </c>
      <c r="M65" s="11">
        <f>G9</f>
        <v>0</v>
      </c>
    </row>
    <row r="66" spans="1:13" ht="15">
      <c r="A66" s="27" t="s">
        <v>42</v>
      </c>
      <c r="D66" s="53" t="s">
        <v>41</v>
      </c>
      <c r="E66" s="28">
        <f>G6</f>
        <v>0</v>
      </c>
      <c r="F66" s="32">
        <v>1</v>
      </c>
      <c r="G66" s="28">
        <f t="shared" si="0"/>
        <v>0</v>
      </c>
      <c r="J66" s="11">
        <f>+G66</f>
        <v>0</v>
      </c>
      <c r="M66" s="11">
        <f>G66</f>
        <v>0</v>
      </c>
    </row>
    <row r="67" spans="1:13" ht="15">
      <c r="A67" s="27" t="s">
        <v>43</v>
      </c>
      <c r="D67" s="53" t="s">
        <v>44</v>
      </c>
      <c r="E67" s="28">
        <f>IF(Results!J6&lt;1,Results!J6,Results!J6/100)</f>
        <v>0.1</v>
      </c>
      <c r="F67" s="28">
        <f>(SUM(G58:G61)+G64+G66+G68+G70)*((D3+D5)/360)</f>
        <v>212.2682333333333</v>
      </c>
      <c r="G67" s="28">
        <f t="shared" si="0"/>
        <v>21.226823333333332</v>
      </c>
      <c r="I67" s="85">
        <f>(J65+J66)*((D3+D5)/360)</f>
        <v>0</v>
      </c>
      <c r="J67" s="11">
        <f>E67*I67</f>
        <v>0</v>
      </c>
      <c r="L67" s="85">
        <f>(M65+M66)*((D3+D5)/360)</f>
        <v>0</v>
      </c>
      <c r="M67" s="11">
        <f>E67*L67</f>
        <v>0</v>
      </c>
    </row>
    <row r="68" spans="1:13" ht="15">
      <c r="A68" s="27" t="s">
        <v>45</v>
      </c>
      <c r="D68" s="53" t="s">
        <v>46</v>
      </c>
      <c r="E68" s="28">
        <f>Results!J7</f>
        <v>0</v>
      </c>
      <c r="F68" s="28">
        <f>(G11*D3)+(G12*D5)+G14</f>
        <v>1.75</v>
      </c>
      <c r="G68" s="28">
        <f t="shared" si="0"/>
        <v>0</v>
      </c>
      <c r="J68" s="11" t="s">
        <v>0</v>
      </c>
      <c r="M68" s="11" t="s">
        <v>0</v>
      </c>
    </row>
    <row r="69" spans="1:7" ht="15">
      <c r="A69" s="27" t="s">
        <v>47</v>
      </c>
      <c r="D69" s="53" t="s">
        <v>44</v>
      </c>
      <c r="E69" s="28">
        <f>G7</f>
        <v>0</v>
      </c>
      <c r="F69" s="32">
        <v>1</v>
      </c>
      <c r="G69" s="28">
        <f t="shared" si="0"/>
        <v>0</v>
      </c>
    </row>
    <row r="70" spans="1:13" ht="15">
      <c r="A70" s="27" t="s">
        <v>48</v>
      </c>
      <c r="D70" s="53" t="s">
        <v>44</v>
      </c>
      <c r="E70" s="28">
        <f>G8</f>
        <v>15</v>
      </c>
      <c r="F70" s="32">
        <v>1</v>
      </c>
      <c r="G70" s="28">
        <f t="shared" si="0"/>
        <v>15</v>
      </c>
      <c r="J70" s="11">
        <f>G70</f>
        <v>15</v>
      </c>
      <c r="M70" s="11">
        <f>G70</f>
        <v>15</v>
      </c>
    </row>
    <row r="71" spans="1:13" ht="15">
      <c r="A71" s="27" t="s">
        <v>49</v>
      </c>
      <c r="D71" s="27" t="s">
        <v>0</v>
      </c>
      <c r="G71" s="28">
        <f>SUM(G58:G70)</f>
        <v>680.9130633333332</v>
      </c>
      <c r="J71" s="11">
        <f>SUM(J59:J70)</f>
        <v>15</v>
      </c>
      <c r="M71" s="11">
        <f>SUM(M59:M70)</f>
        <v>15</v>
      </c>
    </row>
    <row r="72" ht="15">
      <c r="D72" s="27" t="s">
        <v>0</v>
      </c>
    </row>
    <row r="73" spans="1:13" ht="15">
      <c r="A73" s="27" t="s">
        <v>50</v>
      </c>
      <c r="G73" s="28">
        <f>G55-G71</f>
        <v>97.83413666666684</v>
      </c>
      <c r="J73" s="28">
        <f>J55-J71</f>
        <v>74.69600000000001</v>
      </c>
      <c r="M73" s="28">
        <f>M55-M71</f>
        <v>74.18970666666667</v>
      </c>
    </row>
    <row r="74" ht="15">
      <c r="D74" s="27" t="s">
        <v>0</v>
      </c>
    </row>
    <row r="75" spans="1:7" ht="15">
      <c r="A75" s="32" t="s">
        <v>0</v>
      </c>
      <c r="G75" s="32">
        <f>G71/F52</f>
        <v>100.98971632257552</v>
      </c>
    </row>
    <row r="76" spans="1:13" ht="15">
      <c r="A76" s="11" t="s">
        <v>91</v>
      </c>
      <c r="J76" s="11" t="s">
        <v>0</v>
      </c>
      <c r="M76" s="11" t="s">
        <v>0</v>
      </c>
    </row>
    <row r="77" spans="1:13" ht="15">
      <c r="A77" s="27" t="s">
        <v>65</v>
      </c>
      <c r="G77" s="11">
        <f>IF(Results!E7=0,0,($G$55-$G$71)/Results!$E$7)</f>
        <v>61.14633541666677</v>
      </c>
      <c r="J77" s="11">
        <f>IF(Results!E7=0,0,(J55-J71)/Results!E7)</f>
        <v>46.685</v>
      </c>
      <c r="M77" s="11">
        <f>IF(Results!E7=0,0,(M55-M71)/Results!E7)</f>
        <v>46.368566666666666</v>
      </c>
    </row>
    <row r="79" ht="15">
      <c r="G79" s="11" t="s">
        <v>0</v>
      </c>
    </row>
    <row r="81" spans="1:14" ht="15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</row>
    <row r="82" spans="1:14" ht="15">
      <c r="A82" s="86" t="s">
        <v>105</v>
      </c>
      <c r="B82" s="87"/>
      <c r="C82" s="87"/>
      <c r="D82" s="87"/>
      <c r="E82" s="84"/>
      <c r="F82" s="84"/>
      <c r="G82" s="84"/>
      <c r="H82" s="84"/>
      <c r="I82" s="84" t="s">
        <v>86</v>
      </c>
      <c r="J82" s="84"/>
      <c r="K82" s="84"/>
      <c r="L82" s="84"/>
      <c r="M82" s="88"/>
      <c r="N82" s="84"/>
    </row>
    <row r="83" spans="1:14" ht="15">
      <c r="A83" s="84"/>
      <c r="B83" s="84"/>
      <c r="C83" s="84"/>
      <c r="D83" s="84"/>
      <c r="E83" s="84"/>
      <c r="F83" s="84" t="s">
        <v>0</v>
      </c>
      <c r="G83" s="84" t="s">
        <v>85</v>
      </c>
      <c r="H83" s="84"/>
      <c r="I83" s="84" t="s">
        <v>92</v>
      </c>
      <c r="J83" s="84"/>
      <c r="K83" s="84"/>
      <c r="L83" s="84" t="s">
        <v>93</v>
      </c>
      <c r="M83" s="84"/>
      <c r="N83" s="84"/>
    </row>
    <row r="84" spans="1:14" ht="15">
      <c r="A84" s="89"/>
      <c r="B84" s="84"/>
      <c r="C84" s="84"/>
      <c r="D84" s="84" t="s">
        <v>51</v>
      </c>
      <c r="E84" s="88" t="s">
        <v>21</v>
      </c>
      <c r="F84" s="88" t="s">
        <v>90</v>
      </c>
      <c r="G84" s="88" t="s">
        <v>68</v>
      </c>
      <c r="H84" s="88" t="s">
        <v>21</v>
      </c>
      <c r="I84" s="88" t="s">
        <v>90</v>
      </c>
      <c r="J84" s="84" t="s">
        <v>68</v>
      </c>
      <c r="K84" s="88" t="s">
        <v>21</v>
      </c>
      <c r="L84" s="88" t="s">
        <v>27</v>
      </c>
      <c r="M84" s="88" t="s">
        <v>28</v>
      </c>
      <c r="N84" s="84"/>
    </row>
    <row r="85" spans="1:14" ht="15">
      <c r="A85" s="89" t="s">
        <v>30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</row>
    <row r="86" spans="1:14" ht="15">
      <c r="A86" s="89" t="s">
        <v>87</v>
      </c>
      <c r="B86" s="84"/>
      <c r="C86" s="84"/>
      <c r="D86" s="90" t="s">
        <v>35</v>
      </c>
      <c r="E86" s="87">
        <f>IF(Results!J3&lt;10,Results!J3,Results!J3/100)</f>
        <v>0</v>
      </c>
      <c r="F86" s="87">
        <f>((C18*Results!J1)+(F52*100))*(1-(C19/100))</f>
        <v>674.24</v>
      </c>
      <c r="G86" s="87">
        <f>E86*F86</f>
        <v>0</v>
      </c>
      <c r="H86" s="84"/>
      <c r="I86" s="84"/>
      <c r="J86" s="84"/>
      <c r="K86" s="84"/>
      <c r="L86" s="84"/>
      <c r="M86" s="84"/>
      <c r="N86" s="84"/>
    </row>
    <row r="87" spans="1:14" ht="15">
      <c r="A87" s="89" t="s">
        <v>89</v>
      </c>
      <c r="B87" s="84"/>
      <c r="C87" s="84"/>
      <c r="D87" s="90" t="s">
        <v>36</v>
      </c>
      <c r="E87" s="87"/>
      <c r="F87" s="87"/>
      <c r="G87" s="87"/>
      <c r="H87" s="84">
        <f>Results!J4</f>
        <v>0.4</v>
      </c>
      <c r="I87" s="87">
        <f>F86-(F52*100)</f>
        <v>0</v>
      </c>
      <c r="J87" s="84">
        <f>H87*I87</f>
        <v>0</v>
      </c>
      <c r="K87" s="84"/>
      <c r="L87" s="84"/>
      <c r="M87" s="84"/>
      <c r="N87" s="84"/>
    </row>
    <row r="88" spans="1:14" ht="15">
      <c r="A88" s="89" t="s">
        <v>88</v>
      </c>
      <c r="B88" s="84"/>
      <c r="C88" s="84"/>
      <c r="D88" s="90" t="s">
        <v>35</v>
      </c>
      <c r="E88" s="87"/>
      <c r="F88" s="87"/>
      <c r="G88" s="87"/>
      <c r="H88" s="84"/>
      <c r="I88" s="84"/>
      <c r="J88" s="84"/>
      <c r="K88" s="87">
        <f>Results!J5</f>
        <v>4</v>
      </c>
      <c r="L88" s="84">
        <f>((F52+(F86/100))/2*(C18/30))</f>
        <v>0</v>
      </c>
      <c r="M88" s="84">
        <f>K88*L88</f>
        <v>0</v>
      </c>
      <c r="N88" s="84"/>
    </row>
    <row r="89" spans="1:14" ht="15">
      <c r="A89" s="89" t="s">
        <v>31</v>
      </c>
      <c r="B89" s="84"/>
      <c r="C89" s="84"/>
      <c r="D89" s="84"/>
      <c r="E89" s="89" t="s">
        <v>0</v>
      </c>
      <c r="F89" s="84"/>
      <c r="G89" s="87">
        <f>G86</f>
        <v>0</v>
      </c>
      <c r="H89" s="84"/>
      <c r="I89" s="84"/>
      <c r="J89" s="84">
        <f>+J87</f>
        <v>0</v>
      </c>
      <c r="K89" s="84"/>
      <c r="L89" s="84"/>
      <c r="M89" s="84">
        <f>M88</f>
        <v>0</v>
      </c>
      <c r="N89" s="84"/>
    </row>
    <row r="90" spans="1:14" ht="15">
      <c r="A90" s="84"/>
      <c r="B90" s="84"/>
      <c r="C90" s="84"/>
      <c r="D90" s="84"/>
      <c r="E90" s="89" t="s">
        <v>0</v>
      </c>
      <c r="F90" s="84"/>
      <c r="G90" s="84"/>
      <c r="H90" s="84"/>
      <c r="I90" s="84"/>
      <c r="J90" s="84"/>
      <c r="K90" s="84"/>
      <c r="L90" s="84"/>
      <c r="M90" s="84"/>
      <c r="N90" s="84"/>
    </row>
    <row r="91" spans="1:14" ht="15">
      <c r="A91" s="89" t="s">
        <v>32</v>
      </c>
      <c r="B91" s="84"/>
      <c r="C91" s="84"/>
      <c r="D91" s="84"/>
      <c r="E91" s="89" t="s">
        <v>0</v>
      </c>
      <c r="F91" s="84"/>
      <c r="G91" s="84"/>
      <c r="H91" s="84"/>
      <c r="I91" s="84"/>
      <c r="J91" s="84"/>
      <c r="K91" s="84"/>
      <c r="L91" s="84"/>
      <c r="M91" s="84"/>
      <c r="N91" s="84"/>
    </row>
    <row r="92" spans="1:14" ht="15">
      <c r="A92" s="89" t="s">
        <v>110</v>
      </c>
      <c r="B92" s="84"/>
      <c r="C92" s="84"/>
      <c r="D92" s="88" t="str">
        <f>D52</f>
        <v>cwt</v>
      </c>
      <c r="E92" s="87">
        <f>E52</f>
        <v>115.5</v>
      </c>
      <c r="F92" s="87">
        <f>F52</f>
        <v>6.7424</v>
      </c>
      <c r="G92" s="87">
        <f aca="true" t="shared" si="1" ref="G92:G103">E92*F92</f>
        <v>778.7472</v>
      </c>
      <c r="H92" s="84"/>
      <c r="I92" s="84"/>
      <c r="J92" s="84" t="s">
        <v>0</v>
      </c>
      <c r="K92" s="84"/>
      <c r="L92" s="84"/>
      <c r="M92" s="84"/>
      <c r="N92" s="84"/>
    </row>
    <row r="93" spans="1:14" ht="15">
      <c r="A93" s="89" t="s">
        <v>18</v>
      </c>
      <c r="B93" s="84"/>
      <c r="C93" s="84"/>
      <c r="D93" s="88" t="s">
        <v>36</v>
      </c>
      <c r="E93" s="87">
        <f>E13</f>
        <v>0.07</v>
      </c>
      <c r="F93" s="91">
        <f>C24*D24</f>
        <v>0</v>
      </c>
      <c r="G93" s="87">
        <f t="shared" si="1"/>
        <v>0</v>
      </c>
      <c r="H93" s="84"/>
      <c r="I93" s="84"/>
      <c r="J93" s="84" t="s">
        <v>0</v>
      </c>
      <c r="K93" s="84"/>
      <c r="L93" s="84"/>
      <c r="M93" s="84" t="s">
        <v>0</v>
      </c>
      <c r="N93" s="84"/>
    </row>
    <row r="94" spans="1:14" ht="15">
      <c r="A94" s="89" t="s">
        <v>15</v>
      </c>
      <c r="B94" s="84"/>
      <c r="C94" s="84"/>
      <c r="D94" s="88" t="s">
        <v>36</v>
      </c>
      <c r="E94" s="87">
        <f>E12</f>
        <v>0.03</v>
      </c>
      <c r="F94" s="91">
        <f>C23*D23</f>
        <v>0</v>
      </c>
      <c r="G94" s="87">
        <f t="shared" si="1"/>
        <v>0</v>
      </c>
      <c r="H94" s="84"/>
      <c r="I94" s="84"/>
      <c r="J94" s="84" t="s">
        <v>0</v>
      </c>
      <c r="K94" s="84"/>
      <c r="L94" s="84"/>
      <c r="M94" s="84" t="s">
        <v>0</v>
      </c>
      <c r="N94" s="84"/>
    </row>
    <row r="95" spans="1:14" ht="15">
      <c r="A95" s="89" t="s">
        <v>37</v>
      </c>
      <c r="B95" s="84"/>
      <c r="C95" s="84"/>
      <c r="D95" s="88" t="s">
        <v>36</v>
      </c>
      <c r="E95" s="87">
        <f>E14</f>
        <v>0.09</v>
      </c>
      <c r="F95" s="91">
        <f>C25*D25</f>
        <v>0</v>
      </c>
      <c r="G95" s="91">
        <f t="shared" si="1"/>
        <v>0</v>
      </c>
      <c r="H95" s="84"/>
      <c r="I95" s="84"/>
      <c r="J95" s="84" t="s">
        <v>0</v>
      </c>
      <c r="K95" s="84"/>
      <c r="L95" s="84"/>
      <c r="M95" s="84" t="s">
        <v>0</v>
      </c>
      <c r="N95" s="84"/>
    </row>
    <row r="96" spans="1:14" ht="15">
      <c r="A96" s="89" t="s">
        <v>107</v>
      </c>
      <c r="B96" s="84"/>
      <c r="C96" s="84"/>
      <c r="D96" s="88" t="s">
        <v>35</v>
      </c>
      <c r="E96" s="87">
        <f>G5</f>
        <v>0.6</v>
      </c>
      <c r="F96" s="87">
        <f>+($F$86/100)-$F$62</f>
        <v>0</v>
      </c>
      <c r="G96" s="87">
        <f t="shared" si="1"/>
        <v>0</v>
      </c>
      <c r="H96" s="84"/>
      <c r="I96" s="84"/>
      <c r="J96" s="84"/>
      <c r="K96" s="84"/>
      <c r="L96" s="84"/>
      <c r="M96" s="84"/>
      <c r="N96" s="84"/>
    </row>
    <row r="97" spans="1:14" ht="15">
      <c r="A97" s="89" t="s">
        <v>108</v>
      </c>
      <c r="B97" s="84"/>
      <c r="C97" s="84"/>
      <c r="D97" s="88" t="s">
        <v>35</v>
      </c>
      <c r="E97" s="87">
        <f>G4</f>
        <v>2</v>
      </c>
      <c r="F97" s="87">
        <f>+($F$86/100)-$F$63</f>
        <v>0</v>
      </c>
      <c r="G97" s="87">
        <f t="shared" si="1"/>
        <v>0</v>
      </c>
      <c r="H97" s="84"/>
      <c r="I97" s="84"/>
      <c r="J97" s="84"/>
      <c r="K97" s="84"/>
      <c r="L97" s="84"/>
      <c r="M97" s="84"/>
      <c r="N97" s="84"/>
    </row>
    <row r="98" spans="1:14" ht="15">
      <c r="A98" s="89" t="s">
        <v>40</v>
      </c>
      <c r="B98" s="84"/>
      <c r="C98" s="84"/>
      <c r="D98" s="88" t="s">
        <v>41</v>
      </c>
      <c r="E98" s="87">
        <f>G18</f>
        <v>0</v>
      </c>
      <c r="F98" s="91">
        <v>1</v>
      </c>
      <c r="G98" s="87">
        <f t="shared" si="1"/>
        <v>0</v>
      </c>
      <c r="H98" s="84"/>
      <c r="I98" s="84"/>
      <c r="J98" s="84" t="s">
        <v>0</v>
      </c>
      <c r="K98" s="84"/>
      <c r="L98" s="84"/>
      <c r="M98" s="84" t="s">
        <v>0</v>
      </c>
      <c r="N98" s="84"/>
    </row>
    <row r="99" spans="1:14" ht="15">
      <c r="A99" s="27" t="s">
        <v>146</v>
      </c>
      <c r="D99" s="53" t="s">
        <v>41</v>
      </c>
      <c r="E99" s="87"/>
      <c r="F99" s="91"/>
      <c r="G99" s="87"/>
      <c r="H99" s="84"/>
      <c r="I99" s="84"/>
      <c r="J99" s="84">
        <f>G21</f>
        <v>0</v>
      </c>
      <c r="K99" s="84"/>
      <c r="L99" s="84"/>
      <c r="M99" s="84">
        <f>G21</f>
        <v>0</v>
      </c>
      <c r="N99" s="84"/>
    </row>
    <row r="100" spans="1:14" ht="15">
      <c r="A100" s="89" t="s">
        <v>42</v>
      </c>
      <c r="B100" s="84"/>
      <c r="C100" s="84"/>
      <c r="D100" s="88" t="s">
        <v>41</v>
      </c>
      <c r="E100" s="87">
        <f>G19</f>
        <v>0</v>
      </c>
      <c r="F100" s="91">
        <v>1</v>
      </c>
      <c r="G100" s="87">
        <f t="shared" si="1"/>
        <v>0</v>
      </c>
      <c r="H100" s="84"/>
      <c r="I100" s="84"/>
      <c r="J100" s="84">
        <f>+G100</f>
        <v>0</v>
      </c>
      <c r="K100" s="84"/>
      <c r="L100" s="84"/>
      <c r="M100" s="84">
        <f>G100</f>
        <v>0</v>
      </c>
      <c r="N100" s="84"/>
    </row>
    <row r="101" spans="1:14" ht="15">
      <c r="A101" s="89" t="s">
        <v>43</v>
      </c>
      <c r="B101" s="84"/>
      <c r="C101" s="84"/>
      <c r="D101" s="88" t="s">
        <v>44</v>
      </c>
      <c r="E101" s="87">
        <f>IF(Results!J6&lt;1,Results!J6,Results!J6/100)</f>
        <v>0.1</v>
      </c>
      <c r="F101" s="87">
        <f>(SUM(G92:G95)+G98+G100+G102+G103)*(C18/360)</f>
        <v>0</v>
      </c>
      <c r="G101" s="87">
        <f t="shared" si="1"/>
        <v>0</v>
      </c>
      <c r="H101" s="84"/>
      <c r="I101" s="92">
        <f>(J99+J100)*(C18/360)</f>
        <v>0</v>
      </c>
      <c r="J101" s="84">
        <f>E101*I101</f>
        <v>0</v>
      </c>
      <c r="K101" s="84"/>
      <c r="L101" s="92">
        <f>(M99+M100)*(C18/360)</f>
        <v>0</v>
      </c>
      <c r="M101" s="84">
        <f>E101*L101</f>
        <v>0</v>
      </c>
      <c r="N101" s="84"/>
    </row>
    <row r="102" spans="1:14" ht="15">
      <c r="A102" s="89" t="s">
        <v>45</v>
      </c>
      <c r="B102" s="84"/>
      <c r="C102" s="84"/>
      <c r="D102" s="88" t="s">
        <v>46</v>
      </c>
      <c r="E102" s="87">
        <f>Results!J7</f>
        <v>0</v>
      </c>
      <c r="F102" s="87">
        <f>(G23*C18)+G25</f>
        <v>0</v>
      </c>
      <c r="G102" s="87">
        <f t="shared" si="1"/>
        <v>0</v>
      </c>
      <c r="H102" s="84"/>
      <c r="I102" s="84"/>
      <c r="J102" s="84" t="s">
        <v>0</v>
      </c>
      <c r="K102" s="84"/>
      <c r="L102" s="84"/>
      <c r="M102" s="84" t="s">
        <v>0</v>
      </c>
      <c r="N102" s="84"/>
    </row>
    <row r="103" spans="1:14" ht="15">
      <c r="A103" s="89" t="s">
        <v>48</v>
      </c>
      <c r="B103" s="84"/>
      <c r="C103" s="84"/>
      <c r="D103" s="88" t="s">
        <v>44</v>
      </c>
      <c r="E103" s="87">
        <f>G20</f>
        <v>0</v>
      </c>
      <c r="F103" s="91">
        <v>1</v>
      </c>
      <c r="G103" s="87">
        <f t="shared" si="1"/>
        <v>0</v>
      </c>
      <c r="H103" s="84"/>
      <c r="I103" s="84"/>
      <c r="J103" s="84">
        <f>G103</f>
        <v>0</v>
      </c>
      <c r="K103" s="84"/>
      <c r="L103" s="84"/>
      <c r="M103" s="84">
        <f>G103</f>
        <v>0</v>
      </c>
      <c r="N103" s="84"/>
    </row>
    <row r="104" spans="1:14" ht="15">
      <c r="A104" s="89" t="s">
        <v>49</v>
      </c>
      <c r="B104" s="84"/>
      <c r="C104" s="84"/>
      <c r="D104" s="89" t="s">
        <v>0</v>
      </c>
      <c r="E104" s="84"/>
      <c r="F104" s="84"/>
      <c r="G104" s="87">
        <f>SUM(G92:G103)</f>
        <v>778.7472</v>
      </c>
      <c r="H104" s="84"/>
      <c r="I104" s="84"/>
      <c r="J104" s="84">
        <f>SUM(J93:J103)</f>
        <v>0</v>
      </c>
      <c r="K104" s="84"/>
      <c r="L104" s="84"/>
      <c r="M104" s="84">
        <f>SUM(M93:M103)</f>
        <v>0</v>
      </c>
      <c r="N104" s="84"/>
    </row>
    <row r="105" spans="1:14" ht="15">
      <c r="A105" s="84"/>
      <c r="B105" s="84"/>
      <c r="C105" s="84"/>
      <c r="D105" s="89" t="s">
        <v>0</v>
      </c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ht="15">
      <c r="A106" s="89" t="s">
        <v>50</v>
      </c>
      <c r="B106" s="84"/>
      <c r="C106" s="84"/>
      <c r="D106" s="84"/>
      <c r="E106" s="84"/>
      <c r="F106" s="84"/>
      <c r="G106" s="87">
        <f>G89-G104</f>
        <v>-778.7472</v>
      </c>
      <c r="H106" s="84"/>
      <c r="I106" s="84"/>
      <c r="J106" s="87">
        <f>J89-J104</f>
        <v>0</v>
      </c>
      <c r="K106" s="84"/>
      <c r="L106" s="84"/>
      <c r="M106" s="87">
        <f>M89-M104</f>
        <v>0</v>
      </c>
      <c r="N106" s="84"/>
    </row>
    <row r="107" spans="1:14" ht="15">
      <c r="A107" s="84" t="s">
        <v>109</v>
      </c>
      <c r="B107" s="86"/>
      <c r="C107" s="87"/>
      <c r="D107" s="89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ht="15">
      <c r="A108" s="91" t="s">
        <v>0</v>
      </c>
      <c r="B108" s="84"/>
      <c r="C108" s="84"/>
      <c r="D108" s="84"/>
      <c r="E108" s="84"/>
      <c r="F108" s="84"/>
      <c r="G108" s="91">
        <f>G104/F86</f>
        <v>1.155</v>
      </c>
      <c r="H108" s="84"/>
      <c r="I108" s="84"/>
      <c r="J108" s="84"/>
      <c r="K108" s="84"/>
      <c r="L108" s="84"/>
      <c r="M108" s="84"/>
      <c r="N108" s="84"/>
    </row>
    <row r="109" spans="1:14" ht="15">
      <c r="A109" s="84" t="s">
        <v>0</v>
      </c>
      <c r="B109" s="84"/>
      <c r="C109" s="84"/>
      <c r="D109" s="84"/>
      <c r="E109" s="84"/>
      <c r="F109" s="84"/>
      <c r="G109" s="84"/>
      <c r="H109" s="84"/>
      <c r="I109" s="84"/>
      <c r="J109" s="84" t="s">
        <v>0</v>
      </c>
      <c r="K109" s="84"/>
      <c r="L109" s="84"/>
      <c r="M109" s="84" t="s">
        <v>0</v>
      </c>
      <c r="N109" s="84"/>
    </row>
    <row r="110" spans="1:14" ht="15">
      <c r="A110" s="89" t="s">
        <v>65</v>
      </c>
      <c r="B110" s="84"/>
      <c r="C110" s="84"/>
      <c r="D110" s="84"/>
      <c r="E110" s="84"/>
      <c r="F110" s="84"/>
      <c r="G110" s="84">
        <f>IF(Results!J2=0,0,(G89-G104)/Results!J2)</f>
        <v>0</v>
      </c>
      <c r="H110" s="84"/>
      <c r="I110" s="84"/>
      <c r="J110" s="84">
        <f>IF(Results!J2=0,0,(J89-J104)/Results!J2)</f>
        <v>0</v>
      </c>
      <c r="K110" s="84"/>
      <c r="L110" s="84"/>
      <c r="M110" s="84">
        <f>IF(Results!J2=0,0,(M89-M104)/Results!J2)</f>
        <v>0</v>
      </c>
      <c r="N110" s="84"/>
    </row>
    <row r="111" spans="1:14" ht="1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</row>
    <row r="112" spans="1:14" ht="1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B2:Q2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9.00390625" style="1" customWidth="1"/>
    <col min="2" max="2" width="9.875" style="1" bestFit="1" customWidth="1"/>
    <col min="3" max="16384" width="9.00390625" style="1" customWidth="1"/>
  </cols>
  <sheetData>
    <row r="1" ht="14.25"/>
    <row r="2" spans="8:16" ht="14.25">
      <c r="H2"/>
      <c r="I2"/>
      <c r="J2"/>
      <c r="K2"/>
      <c r="L2"/>
      <c r="M2"/>
      <c r="N2"/>
      <c r="O2"/>
      <c r="P2"/>
    </row>
    <row r="3" spans="8:16" ht="15">
      <c r="H3"/>
      <c r="I3" s="106"/>
      <c r="J3" s="106"/>
      <c r="K3" s="106"/>
      <c r="L3" s="106"/>
      <c r="M3" s="106"/>
      <c r="N3" s="106"/>
      <c r="O3" s="106"/>
      <c r="P3" s="107"/>
    </row>
    <row r="4" spans="8:17" ht="15.75">
      <c r="H4" s="108"/>
      <c r="I4" s="126" t="s">
        <v>171</v>
      </c>
      <c r="J4" s="126"/>
      <c r="K4" s="126"/>
      <c r="L4" s="126"/>
      <c r="M4" s="126"/>
      <c r="N4" s="126"/>
      <c r="O4" s="126"/>
      <c r="P4" s="127"/>
      <c r="Q4" s="127"/>
    </row>
    <row r="5" spans="8:17" ht="15.75">
      <c r="H5" s="108"/>
      <c r="I5" s="124" t="s">
        <v>172</v>
      </c>
      <c r="J5" s="125"/>
      <c r="K5" s="125"/>
      <c r="L5" s="125"/>
      <c r="M5" s="125"/>
      <c r="N5" s="125"/>
      <c r="O5" s="125"/>
      <c r="P5" s="125"/>
      <c r="Q5" s="125"/>
    </row>
    <row r="6" spans="8:17" ht="15.75">
      <c r="H6" s="108"/>
      <c r="I6" s="109" t="s">
        <v>175</v>
      </c>
      <c r="J6" s="112"/>
      <c r="K6" s="112"/>
      <c r="L6" s="112"/>
      <c r="M6" s="112"/>
      <c r="N6" s="112"/>
      <c r="O6" s="112"/>
      <c r="P6" s="110"/>
      <c r="Q6" s="111"/>
    </row>
    <row r="7" spans="8:17" ht="15.75">
      <c r="H7" s="108" t="s">
        <v>123</v>
      </c>
      <c r="I7" s="128"/>
      <c r="J7" s="128"/>
      <c r="K7" s="128"/>
      <c r="L7" s="128"/>
      <c r="M7" s="128"/>
      <c r="N7" s="128"/>
      <c r="O7" s="128"/>
      <c r="P7" s="128"/>
      <c r="Q7" s="111"/>
    </row>
    <row r="8" spans="8:17" ht="18.75">
      <c r="H8" s="108" t="s">
        <v>141</v>
      </c>
      <c r="I8" s="113"/>
      <c r="J8" s="114" t="s">
        <v>168</v>
      </c>
      <c r="K8" s="115"/>
      <c r="L8" s="116" t="s">
        <v>169</v>
      </c>
      <c r="M8" s="116"/>
      <c r="N8" s="114" t="s">
        <v>170</v>
      </c>
      <c r="O8" s="117"/>
      <c r="P8" s="113" t="s">
        <v>123</v>
      </c>
      <c r="Q8" s="111"/>
    </row>
    <row r="9" spans="8:17" ht="18.75">
      <c r="H9" s="118">
        <v>39331</v>
      </c>
      <c r="I9" s="113" t="s">
        <v>173</v>
      </c>
      <c r="J9" s="119">
        <v>41.7921</v>
      </c>
      <c r="K9" s="117"/>
      <c r="L9" s="120">
        <v>44.9353</v>
      </c>
      <c r="M9" s="117"/>
      <c r="N9" s="120">
        <v>39.043</v>
      </c>
      <c r="O9" s="117"/>
      <c r="P9" s="121">
        <f>AVERAGE(J9:N9)</f>
        <v>41.92346666666666</v>
      </c>
      <c r="Q9" s="111"/>
    </row>
    <row r="10" spans="8:17" ht="18.75">
      <c r="H10" s="118">
        <v>39350</v>
      </c>
      <c r="I10" s="113" t="s">
        <v>173</v>
      </c>
      <c r="J10" s="119">
        <v>41.0911</v>
      </c>
      <c r="K10" s="117"/>
      <c r="L10" s="120">
        <v>44.1438</v>
      </c>
      <c r="M10" s="117"/>
      <c r="N10" s="120">
        <v>43.2609</v>
      </c>
      <c r="O10" s="117"/>
      <c r="P10" s="121">
        <f>AVERAGE(J10:N10)</f>
        <v>42.83193333333333</v>
      </c>
      <c r="Q10" s="111"/>
    </row>
    <row r="11" spans="8:17" ht="18.75">
      <c r="H11" s="118">
        <v>39372</v>
      </c>
      <c r="I11" s="113" t="s">
        <v>174</v>
      </c>
      <c r="J11" s="119">
        <v>44.5913</v>
      </c>
      <c r="K11" s="113"/>
      <c r="L11" s="120">
        <v>38.6111</v>
      </c>
      <c r="M11" s="117"/>
      <c r="N11" s="122">
        <v>38.0983</v>
      </c>
      <c r="O11" s="117"/>
      <c r="P11" s="121">
        <f>AVERAGE(J11:N11)</f>
        <v>40.43356666666667</v>
      </c>
      <c r="Q11" s="111"/>
    </row>
    <row r="12" spans="8:17" ht="18.75">
      <c r="H12" s="108"/>
      <c r="I12" s="108"/>
      <c r="J12" s="120"/>
      <c r="K12" s="108"/>
      <c r="L12" s="120"/>
      <c r="M12" s="123"/>
      <c r="N12" s="120"/>
      <c r="O12" s="123"/>
      <c r="P12" s="108"/>
      <c r="Q12" s="111"/>
    </row>
    <row r="13" ht="14.25"/>
    <row r="14" ht="14.25"/>
    <row r="15" ht="14.25"/>
    <row r="16" ht="14.25">
      <c r="H16" s="1" t="s">
        <v>176</v>
      </c>
    </row>
    <row r="17" ht="14.25">
      <c r="H17" s="1" t="s">
        <v>177</v>
      </c>
    </row>
    <row r="18" spans="2:8" ht="14.25">
      <c r="B18" s="2" t="s">
        <v>138</v>
      </c>
      <c r="C18" s="2"/>
      <c r="D18" s="2"/>
      <c r="E18" s="2"/>
      <c r="F18" s="2"/>
      <c r="G18" s="2"/>
      <c r="H18" s="1" t="s">
        <v>178</v>
      </c>
    </row>
    <row r="19" spans="2:8" ht="13.5">
      <c r="B19" s="2" t="s">
        <v>140</v>
      </c>
      <c r="C19" s="2"/>
      <c r="D19" s="2"/>
      <c r="E19" s="2"/>
      <c r="F19" s="2"/>
      <c r="G19" s="2"/>
      <c r="H19" s="2" t="s">
        <v>179</v>
      </c>
    </row>
    <row r="20" spans="2:8" ht="13.5">
      <c r="B20" s="1" t="s">
        <v>139</v>
      </c>
      <c r="H20" s="2" t="s">
        <v>183</v>
      </c>
    </row>
    <row r="21" spans="2:8" ht="13.5">
      <c r="B21" s="1" t="s">
        <v>167</v>
      </c>
      <c r="H21" s="1" t="s">
        <v>184</v>
      </c>
    </row>
    <row r="22" spans="2:6" ht="13.5">
      <c r="B22" s="1" t="s">
        <v>141</v>
      </c>
      <c r="D22" s="1" t="s">
        <v>142</v>
      </c>
      <c r="F22" s="1" t="s">
        <v>143</v>
      </c>
    </row>
    <row r="23" spans="2:8" ht="13.5">
      <c r="B23" s="3">
        <v>36404</v>
      </c>
      <c r="D23" s="5">
        <f>F23*$D$27</f>
        <v>26.650000000000002</v>
      </c>
      <c r="F23" s="4">
        <v>0.65</v>
      </c>
      <c r="H23" s="1" t="s">
        <v>180</v>
      </c>
    </row>
    <row r="24" spans="2:8" ht="13.5">
      <c r="B24" s="3">
        <v>36413</v>
      </c>
      <c r="D24" s="5">
        <f>F24*$D$27</f>
        <v>33.21</v>
      </c>
      <c r="F24" s="4">
        <v>0.81</v>
      </c>
      <c r="H24" s="1" t="s">
        <v>181</v>
      </c>
    </row>
    <row r="25" spans="2:8" ht="13.5">
      <c r="B25" s="3">
        <v>36418</v>
      </c>
      <c r="D25" s="5">
        <f>F25*$D$27</f>
        <v>36.08</v>
      </c>
      <c r="F25" s="4">
        <v>0.88</v>
      </c>
      <c r="H25" s="1" t="s">
        <v>182</v>
      </c>
    </row>
    <row r="26" spans="2:6" ht="13.5">
      <c r="B26" s="3">
        <v>36423</v>
      </c>
      <c r="D26" s="5">
        <f>F26*$D$27</f>
        <v>38.13</v>
      </c>
      <c r="F26" s="4">
        <v>0.93</v>
      </c>
    </row>
    <row r="27" spans="2:6" ht="13.5">
      <c r="B27" s="3">
        <v>36439</v>
      </c>
      <c r="D27" s="5">
        <v>41</v>
      </c>
      <c r="F27" s="4">
        <v>1</v>
      </c>
    </row>
    <row r="28" ht="13.5">
      <c r="B28" s="3"/>
    </row>
    <row r="29" ht="13.5">
      <c r="B29" s="3"/>
    </row>
  </sheetData>
  <sheetProtection/>
  <mergeCells count="3">
    <mergeCell ref="I5:Q5"/>
    <mergeCell ref="I4:Q4"/>
    <mergeCell ref="I7:P7"/>
  </mergeCells>
  <printOptions/>
  <pageMargins left="0.75" right="0.75" top="1" bottom="1" header="0.5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ag_econ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&gt;State Statisticsl Report R:page88</dc:title>
  <dc:subject/>
  <dc:creator>Francis Epplin</dc:creator>
  <cp:keywords/>
  <dc:description/>
  <cp:lastModifiedBy>Thomison, Julianne</cp:lastModifiedBy>
  <cp:lastPrinted>2007-09-19T13:50:33Z</cp:lastPrinted>
  <dcterms:created xsi:type="dcterms:W3CDTF">1998-03-23T15:43:34Z</dcterms:created>
  <dcterms:modified xsi:type="dcterms:W3CDTF">2021-09-13T14:27:28Z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