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thomi\Documents\Beef Extension\Calculators\"/>
    </mc:Choice>
  </mc:AlternateContent>
  <workbookProtection workbookAlgorithmName="SHA-512" workbookHashValue="NC2fD20GCuKqFI/XCN18yNYGBsY1km6QgZCtB/ANWQ5CA2KoO2NjlRleq3U0y+6guB41zr2LKUZtK9YR2DJTGg==" workbookSaltValue="kLt024dA0NAlADGVGlaqdw==" workbookSpinCount="100000" lockStructure="1"/>
  <bookViews>
    <workbookView xWindow="0" yWindow="0" windowWidth="23040" windowHeight="9192"/>
  </bookViews>
  <sheets>
    <sheet name="FORMULATION" sheetId="4" r:id="rId1"/>
    <sheet name="FEED LIST" sheetId="1" r:id="rId2"/>
    <sheet name="MIXING SHEET" sheetId="3" r:id="rId3"/>
    <sheet name="NUTRIENTS" sheetId="5" r:id="rId4"/>
  </sheets>
  <definedNames>
    <definedName name="\e">FORMULATION!$B$135:$G$136</definedName>
    <definedName name="\f">FORMULATION!$B$131:$I$132</definedName>
    <definedName name="\s">FORMULATION!$B$133:$H$134</definedName>
    <definedName name="\z">FORMULATION!$B$129:$J$130</definedName>
    <definedName name="_Key1" hidden="1">'FEED LIST'!$B$3:$B$27</definedName>
    <definedName name="_Order1" hidden="1">255</definedName>
    <definedName name="_Regression_Int" localSheetId="0" hidden="1">1</definedName>
    <definedName name="_Sort" hidden="1">'FEED LIST'!$B$3:$T$27</definedName>
    <definedName name="FEEDS">'FEED LIST'!$A$1:$O$81</definedName>
    <definedName name="_xlnm.Print_Area" localSheetId="1">'FEED LIST'!$A$1:$Y$105</definedName>
    <definedName name="_xlnm.Print_Area" localSheetId="0">FORMULATION!$B$1:$K$43</definedName>
    <definedName name="_xlnm.Print_Area" localSheetId="2">'MIXING SHEET'!$B$1:$L$40</definedName>
    <definedName name="_xlnm.Print_Area" localSheetId="3">NUTRIENTS!$A:$Z</definedName>
    <definedName name="Print_Area_MI" localSheetId="0">FORMULATION!$C$7:$L$128</definedName>
    <definedName name="_xlnm.Print_Titles" localSheetId="1">'FEED LIST'!$1:$1</definedName>
  </definedNames>
  <calcPr calcId="162913"/>
</workbook>
</file>

<file path=xl/calcChain.xml><?xml version="1.0" encoding="utf-8"?>
<calcChain xmlns="http://schemas.openxmlformats.org/spreadsheetml/2006/main">
  <c r="K107" i="1" l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" i="1"/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7" i="5"/>
  <c r="K13" i="5"/>
  <c r="C13" i="5" s="1"/>
  <c r="F14" i="4" s="1"/>
  <c r="K15" i="5"/>
  <c r="K16" i="5"/>
  <c r="C16" i="5" s="1"/>
  <c r="F17" i="4" s="1"/>
  <c r="K17" i="5"/>
  <c r="C17" i="5" s="1"/>
  <c r="F18" i="4" s="1"/>
  <c r="K18" i="5"/>
  <c r="C18" i="5" s="1"/>
  <c r="F19" i="4" s="1"/>
  <c r="K19" i="5"/>
  <c r="C19" i="5" s="1"/>
  <c r="F20" i="4" s="1"/>
  <c r="K20" i="5"/>
  <c r="C20" i="5" s="1"/>
  <c r="F21" i="4" s="1"/>
  <c r="K21" i="5"/>
  <c r="C21" i="5" s="1"/>
  <c r="F22" i="4" s="1"/>
  <c r="K22" i="5"/>
  <c r="C22" i="5" s="1"/>
  <c r="F23" i="4" s="1"/>
  <c r="K23" i="5"/>
  <c r="C23" i="5" s="1"/>
  <c r="F24" i="4" s="1"/>
  <c r="K24" i="5"/>
  <c r="C24" i="5" s="1"/>
  <c r="F25" i="4" s="1"/>
  <c r="K25" i="5"/>
  <c r="C25" i="5" s="1"/>
  <c r="F26" i="4" s="1"/>
  <c r="K26" i="5"/>
  <c r="C26" i="5" s="1"/>
  <c r="F27" i="4" s="1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I26" i="5"/>
  <c r="G26" i="5"/>
  <c r="F26" i="5"/>
  <c r="E26" i="5"/>
  <c r="D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I25" i="5"/>
  <c r="G25" i="5"/>
  <c r="F25" i="5"/>
  <c r="E25" i="5"/>
  <c r="D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I24" i="5"/>
  <c r="G24" i="5"/>
  <c r="F24" i="5"/>
  <c r="E24" i="5"/>
  <c r="D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I23" i="5"/>
  <c r="G23" i="5"/>
  <c r="F23" i="5"/>
  <c r="E23" i="5"/>
  <c r="D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I22" i="5"/>
  <c r="G22" i="5"/>
  <c r="F22" i="5"/>
  <c r="E22" i="5"/>
  <c r="D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I21" i="5"/>
  <c r="G21" i="5"/>
  <c r="F21" i="5"/>
  <c r="E21" i="5"/>
  <c r="D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I20" i="5"/>
  <c r="G20" i="5"/>
  <c r="F20" i="5"/>
  <c r="E20" i="5"/>
  <c r="D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I19" i="5"/>
  <c r="G19" i="5"/>
  <c r="F19" i="5"/>
  <c r="E19" i="5"/>
  <c r="D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I18" i="5"/>
  <c r="G18" i="5"/>
  <c r="F18" i="5"/>
  <c r="E18" i="5"/>
  <c r="D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I17" i="5"/>
  <c r="G17" i="5"/>
  <c r="F17" i="5"/>
  <c r="E17" i="5"/>
  <c r="D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I16" i="5"/>
  <c r="G16" i="5"/>
  <c r="F16" i="5"/>
  <c r="E16" i="5"/>
  <c r="D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I15" i="5"/>
  <c r="G15" i="5"/>
  <c r="F15" i="5"/>
  <c r="E15" i="5"/>
  <c r="D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I14" i="5"/>
  <c r="G14" i="5"/>
  <c r="F14" i="5"/>
  <c r="E14" i="5"/>
  <c r="D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I13" i="5"/>
  <c r="G13" i="5"/>
  <c r="F13" i="5"/>
  <c r="E13" i="5"/>
  <c r="D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I12" i="5"/>
  <c r="G12" i="5"/>
  <c r="F12" i="5"/>
  <c r="E12" i="5"/>
  <c r="D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I11" i="5"/>
  <c r="G11" i="5"/>
  <c r="F11" i="5"/>
  <c r="E11" i="5"/>
  <c r="D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I10" i="5"/>
  <c r="G10" i="5"/>
  <c r="F10" i="5"/>
  <c r="E10" i="5"/>
  <c r="D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I9" i="5"/>
  <c r="G9" i="5"/>
  <c r="F9" i="5"/>
  <c r="E9" i="5"/>
  <c r="D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I8" i="5"/>
  <c r="G8" i="5"/>
  <c r="F8" i="5"/>
  <c r="E8" i="5"/>
  <c r="D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I7" i="5"/>
  <c r="G7" i="5"/>
  <c r="F7" i="5"/>
  <c r="E7" i="5"/>
  <c r="D7" i="5"/>
  <c r="C27" i="4"/>
  <c r="B28" i="3" s="1"/>
  <c r="C26" i="4"/>
  <c r="B27" i="3" s="1"/>
  <c r="C25" i="4"/>
  <c r="B26" i="3" s="1"/>
  <c r="C24" i="4"/>
  <c r="B25" i="3" s="1"/>
  <c r="C23" i="4"/>
  <c r="B24" i="3" s="1"/>
  <c r="C22" i="4"/>
  <c r="B23" i="3" s="1"/>
  <c r="C21" i="4"/>
  <c r="B22" i="3" s="1"/>
  <c r="C20" i="4"/>
  <c r="B21" i="3" s="1"/>
  <c r="C19" i="4"/>
  <c r="B20" i="3" s="1"/>
  <c r="C18" i="4"/>
  <c r="B19" i="3" s="1"/>
  <c r="C17" i="4"/>
  <c r="B18" i="3" s="1"/>
  <c r="C16" i="4"/>
  <c r="A15" i="5" s="1"/>
  <c r="A40" i="5" s="1"/>
  <c r="C15" i="4"/>
  <c r="B16" i="3" s="1"/>
  <c r="C14" i="4"/>
  <c r="B15" i="3" s="1"/>
  <c r="C13" i="4"/>
  <c r="B14" i="3" s="1"/>
  <c r="C12" i="4"/>
  <c r="B13" i="3" s="1"/>
  <c r="C11" i="4"/>
  <c r="A10" i="5" s="1"/>
  <c r="A35" i="5" s="1"/>
  <c r="C10" i="4"/>
  <c r="B11" i="3" s="1"/>
  <c r="C9" i="4"/>
  <c r="B10" i="3" s="1"/>
  <c r="C8" i="4"/>
  <c r="B9" i="3" s="1"/>
  <c r="C39" i="4"/>
  <c r="B36" i="3" s="1"/>
  <c r="K12" i="5"/>
  <c r="C12" i="5" s="1"/>
  <c r="F13" i="4" s="1"/>
  <c r="K8" i="5"/>
  <c r="C8" i="5" s="1"/>
  <c r="F9" i="4" s="1"/>
  <c r="K10" i="5"/>
  <c r="C10" i="5" s="1"/>
  <c r="F11" i="4" s="1"/>
  <c r="K14" i="5"/>
  <c r="C14" i="5" s="1"/>
  <c r="F15" i="4" s="1"/>
  <c r="D4" i="3"/>
  <c r="E35" i="3" s="1"/>
  <c r="G4" i="4"/>
  <c r="G33" i="4" s="1"/>
  <c r="D28" i="4"/>
  <c r="AA8" i="5" s="1"/>
  <c r="B33" i="5" s="1"/>
  <c r="R37" i="4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4" i="3"/>
  <c r="C35" i="3"/>
  <c r="B7" i="5"/>
  <c r="B8" i="5"/>
  <c r="B9" i="5"/>
  <c r="B10" i="5"/>
  <c r="B11" i="5"/>
  <c r="B12" i="5"/>
  <c r="B13" i="5"/>
  <c r="B14" i="5"/>
  <c r="B15" i="5"/>
  <c r="B16" i="5"/>
  <c r="B18" i="5"/>
  <c r="B19" i="5"/>
  <c r="B20" i="5"/>
  <c r="B21" i="5"/>
  <c r="B22" i="5"/>
  <c r="B23" i="5"/>
  <c r="B24" i="5"/>
  <c r="B25" i="5"/>
  <c r="B26" i="5"/>
  <c r="A26" i="5" l="1"/>
  <c r="A51" i="5" s="1"/>
  <c r="A25" i="5"/>
  <c r="A50" i="5" s="1"/>
  <c r="A18" i="5"/>
  <c r="A43" i="5" s="1"/>
  <c r="C37" i="4"/>
  <c r="F3" i="3"/>
  <c r="D33" i="3" s="1"/>
  <c r="A19" i="5"/>
  <c r="A44" i="5" s="1"/>
  <c r="A20" i="5"/>
  <c r="A45" i="5" s="1"/>
  <c r="A24" i="5"/>
  <c r="A49" i="5" s="1"/>
  <c r="A17" i="5"/>
  <c r="A42" i="5" s="1"/>
  <c r="A23" i="5"/>
  <c r="A48" i="5" s="1"/>
  <c r="A22" i="5"/>
  <c r="A47" i="5" s="1"/>
  <c r="E23" i="4"/>
  <c r="AA26" i="5"/>
  <c r="B51" i="5" s="1"/>
  <c r="E18" i="4"/>
  <c r="AA19" i="5"/>
  <c r="B44" i="5" s="1"/>
  <c r="AA13" i="5"/>
  <c r="B38" i="5" s="1"/>
  <c r="AA17" i="5"/>
  <c r="E10" i="4"/>
  <c r="E12" i="4"/>
  <c r="AA22" i="5"/>
  <c r="B47" i="5" s="1"/>
  <c r="E27" i="4"/>
  <c r="AA12" i="5"/>
  <c r="B37" i="5" s="1"/>
  <c r="E11" i="4"/>
  <c r="E13" i="4"/>
  <c r="E16" i="4"/>
  <c r="E21" i="4"/>
  <c r="E26" i="4"/>
  <c r="E20" i="4"/>
  <c r="A14" i="5"/>
  <c r="A39" i="5" s="1"/>
  <c r="A16" i="5"/>
  <c r="A41" i="5" s="1"/>
  <c r="A12" i="5"/>
  <c r="A37" i="5" s="1"/>
  <c r="A21" i="5"/>
  <c r="A46" i="5" s="1"/>
  <c r="C15" i="5"/>
  <c r="F16" i="4" s="1"/>
  <c r="F31" i="4"/>
  <c r="B12" i="3"/>
  <c r="AB1" i="5"/>
  <c r="C31" i="4"/>
  <c r="B6" i="5" s="1"/>
  <c r="K7" i="5"/>
  <c r="C7" i="5" s="1"/>
  <c r="F8" i="4" s="1"/>
  <c r="K11" i="5"/>
  <c r="C11" i="5" s="1"/>
  <c r="F12" i="4" s="1"/>
  <c r="K9" i="5"/>
  <c r="C9" i="5" s="1"/>
  <c r="F10" i="4" s="1"/>
  <c r="A9" i="5"/>
  <c r="A34" i="5" s="1"/>
  <c r="A11" i="5"/>
  <c r="A36" i="5" s="1"/>
  <c r="B17" i="3"/>
  <c r="A7" i="5"/>
  <c r="A32" i="5" s="1"/>
  <c r="A13" i="5"/>
  <c r="A38" i="5" s="1"/>
  <c r="AA7" i="5"/>
  <c r="B32" i="5" s="1"/>
  <c r="AA14" i="5"/>
  <c r="AA18" i="5"/>
  <c r="AA21" i="5"/>
  <c r="AA25" i="5"/>
  <c r="AA11" i="5"/>
  <c r="E25" i="4"/>
  <c r="E17" i="4"/>
  <c r="E9" i="4"/>
  <c r="E22" i="4"/>
  <c r="E14" i="4"/>
  <c r="AA20" i="5"/>
  <c r="AA23" i="5"/>
  <c r="AA24" i="5"/>
  <c r="AA10" i="5"/>
  <c r="B35" i="5" s="1"/>
  <c r="E19" i="4"/>
  <c r="E24" i="4"/>
  <c r="E15" i="4"/>
  <c r="AA15" i="5"/>
  <c r="B40" i="5" s="1"/>
  <c r="AA16" i="5"/>
  <c r="AA9" i="5"/>
  <c r="B34" i="5" s="1"/>
  <c r="E8" i="4"/>
  <c r="A8" i="5"/>
  <c r="A33" i="5" s="1"/>
  <c r="B27" i="5"/>
  <c r="AB12" i="5" l="1"/>
  <c r="AC12" i="5" s="1"/>
  <c r="AD12" i="5" s="1"/>
  <c r="B33" i="3"/>
  <c r="AB18" i="5"/>
  <c r="AC18" i="5" s="1"/>
  <c r="AD18" i="5" s="1"/>
  <c r="AB17" i="5"/>
  <c r="AC17" i="5" s="1"/>
  <c r="AD17" i="5" s="1"/>
  <c r="AB26" i="5"/>
  <c r="AC26" i="5" s="1"/>
  <c r="AD26" i="5" s="1"/>
  <c r="AB19" i="5"/>
  <c r="AC19" i="5" s="1"/>
  <c r="AD19" i="5" s="1"/>
  <c r="AB13" i="5"/>
  <c r="AC13" i="5" s="1"/>
  <c r="AD13" i="5" s="1"/>
  <c r="AB22" i="5"/>
  <c r="AC22" i="5" s="1"/>
  <c r="AD22" i="5" s="1"/>
  <c r="AB7" i="5"/>
  <c r="AC7" i="5" s="1"/>
  <c r="AD7" i="5" s="1"/>
  <c r="AA27" i="5"/>
  <c r="AA28" i="5" s="1"/>
  <c r="B42" i="5"/>
  <c r="AB9" i="5"/>
  <c r="AC9" i="5" s="1"/>
  <c r="AD9" i="5" s="1"/>
  <c r="AB8" i="5"/>
  <c r="AC8" i="5" s="1"/>
  <c r="AD8" i="5" s="1"/>
  <c r="AB15" i="5"/>
  <c r="AC15" i="5" s="1"/>
  <c r="AD15" i="5" s="1"/>
  <c r="AB10" i="5"/>
  <c r="AC10" i="5" s="1"/>
  <c r="AD10" i="5" s="1"/>
  <c r="AB11" i="5"/>
  <c r="AC11" i="5" s="1"/>
  <c r="AD11" i="5" s="1"/>
  <c r="E28" i="4"/>
  <c r="B48" i="5"/>
  <c r="AB23" i="5"/>
  <c r="AC23" i="5" s="1"/>
  <c r="AD23" i="5" s="1"/>
  <c r="B50" i="5"/>
  <c r="AB25" i="5"/>
  <c r="AC25" i="5" s="1"/>
  <c r="AD25" i="5" s="1"/>
  <c r="B43" i="5"/>
  <c r="AB16" i="5"/>
  <c r="AC16" i="5" s="1"/>
  <c r="AD16" i="5" s="1"/>
  <c r="B41" i="5"/>
  <c r="AB24" i="5"/>
  <c r="AC24" i="5" s="1"/>
  <c r="AD24" i="5" s="1"/>
  <c r="B49" i="5"/>
  <c r="B45" i="5"/>
  <c r="AB20" i="5"/>
  <c r="AC20" i="5" s="1"/>
  <c r="AD20" i="5" s="1"/>
  <c r="B36" i="5"/>
  <c r="B46" i="5"/>
  <c r="AB21" i="5"/>
  <c r="AC21" i="5" s="1"/>
  <c r="AD21" i="5" s="1"/>
  <c r="B39" i="5"/>
  <c r="AB14" i="5"/>
  <c r="AC14" i="5" s="1"/>
  <c r="AD14" i="5" s="1"/>
  <c r="AD28" i="5" l="1"/>
  <c r="AE7" i="5" s="1"/>
  <c r="D32" i="5" l="1"/>
  <c r="W32" i="5" s="1"/>
  <c r="D9" i="3"/>
  <c r="AE9" i="5"/>
  <c r="AE17" i="5"/>
  <c r="AE26" i="5"/>
  <c r="AE25" i="5"/>
  <c r="AE10" i="5"/>
  <c r="AE11" i="5"/>
  <c r="AE23" i="5"/>
  <c r="AE16" i="5"/>
  <c r="AE20" i="5"/>
  <c r="AE18" i="5"/>
  <c r="AE8" i="5"/>
  <c r="AE15" i="5"/>
  <c r="AE12" i="5"/>
  <c r="AE24" i="5"/>
  <c r="AE21" i="5"/>
  <c r="AE14" i="5"/>
  <c r="AB27" i="5"/>
  <c r="AH1" i="5" s="1"/>
  <c r="AE13" i="5"/>
  <c r="AE19" i="5"/>
  <c r="AE22" i="5"/>
  <c r="J32" i="5" l="1"/>
  <c r="V32" i="5"/>
  <c r="I32" i="5"/>
  <c r="K32" i="5"/>
  <c r="L32" i="5" s="1"/>
  <c r="C32" i="5" s="1"/>
  <c r="Y32" i="5"/>
  <c r="G32" i="5"/>
  <c r="Q32" i="5"/>
  <c r="P32" i="5"/>
  <c r="T32" i="5"/>
  <c r="F32" i="5"/>
  <c r="H32" i="5"/>
  <c r="M32" i="5"/>
  <c r="D46" i="5"/>
  <c r="X46" i="5" s="1"/>
  <c r="D23" i="3"/>
  <c r="D48" i="5"/>
  <c r="N48" i="5" s="1"/>
  <c r="D25" i="3"/>
  <c r="N32" i="5"/>
  <c r="U32" i="5"/>
  <c r="O32" i="5"/>
  <c r="D49" i="5"/>
  <c r="T49" i="5" s="1"/>
  <c r="D26" i="3"/>
  <c r="D36" i="5"/>
  <c r="G36" i="5" s="1"/>
  <c r="D13" i="3"/>
  <c r="E32" i="5"/>
  <c r="Z32" i="5"/>
  <c r="D37" i="5"/>
  <c r="G37" i="5" s="1"/>
  <c r="D14" i="3"/>
  <c r="E14" i="3" s="1"/>
  <c r="D35" i="5"/>
  <c r="M35" i="5" s="1"/>
  <c r="D12" i="3"/>
  <c r="S32" i="5"/>
  <c r="R32" i="5"/>
  <c r="D47" i="5"/>
  <c r="V47" i="5" s="1"/>
  <c r="D24" i="3"/>
  <c r="D40" i="5"/>
  <c r="U40" i="5" s="1"/>
  <c r="D17" i="3"/>
  <c r="D50" i="5"/>
  <c r="Y50" i="5" s="1"/>
  <c r="D27" i="3"/>
  <c r="X32" i="5"/>
  <c r="D44" i="5"/>
  <c r="H44" i="5" s="1"/>
  <c r="D21" i="3"/>
  <c r="D33" i="5"/>
  <c r="H33" i="5" s="1"/>
  <c r="D10" i="3"/>
  <c r="E10" i="3" s="1"/>
  <c r="D51" i="5"/>
  <c r="I51" i="5" s="1"/>
  <c r="D28" i="3"/>
  <c r="D34" i="5"/>
  <c r="Y34" i="5" s="1"/>
  <c r="D11" i="3"/>
  <c r="E11" i="3" s="1"/>
  <c r="D38" i="5"/>
  <c r="P38" i="5" s="1"/>
  <c r="D15" i="3"/>
  <c r="D43" i="5"/>
  <c r="K43" i="5" s="1"/>
  <c r="L43" i="5" s="1"/>
  <c r="C43" i="5" s="1"/>
  <c r="D20" i="3"/>
  <c r="D42" i="5"/>
  <c r="J42" i="5" s="1"/>
  <c r="D19" i="3"/>
  <c r="D39" i="5"/>
  <c r="P39" i="5" s="1"/>
  <c r="D16" i="3"/>
  <c r="E16" i="3" s="1"/>
  <c r="D41" i="5"/>
  <c r="J41" i="5" s="1"/>
  <c r="D18" i="3"/>
  <c r="E9" i="3"/>
  <c r="D45" i="5"/>
  <c r="Y45" i="5" s="1"/>
  <c r="D22" i="3"/>
  <c r="AE27" i="5"/>
  <c r="AB28" i="5"/>
  <c r="AH4" i="5"/>
  <c r="O11" i="4" s="1"/>
  <c r="O10" i="4"/>
  <c r="X43" i="5" l="1"/>
  <c r="P33" i="5"/>
  <c r="E33" i="5"/>
  <c r="U48" i="5"/>
  <c r="M46" i="5"/>
  <c r="E41" i="5"/>
  <c r="F43" i="5"/>
  <c r="W43" i="5"/>
  <c r="N39" i="5"/>
  <c r="I39" i="5"/>
  <c r="J34" i="5"/>
  <c r="N46" i="5"/>
  <c r="E46" i="5"/>
  <c r="P45" i="5"/>
  <c r="G44" i="5"/>
  <c r="T38" i="5"/>
  <c r="R33" i="5"/>
  <c r="Z36" i="5"/>
  <c r="Y48" i="5"/>
  <c r="S39" i="5"/>
  <c r="F46" i="5"/>
  <c r="Y39" i="5"/>
  <c r="P46" i="5"/>
  <c r="U44" i="5"/>
  <c r="G39" i="5"/>
  <c r="P48" i="5"/>
  <c r="X38" i="5"/>
  <c r="M38" i="5"/>
  <c r="G41" i="5"/>
  <c r="Q36" i="5"/>
  <c r="U38" i="5"/>
  <c r="T44" i="5"/>
  <c r="J48" i="5"/>
  <c r="T37" i="5"/>
  <c r="W44" i="5"/>
  <c r="U39" i="5"/>
  <c r="S48" i="5"/>
  <c r="I34" i="5"/>
  <c r="M44" i="5"/>
  <c r="O44" i="5"/>
  <c r="E38" i="5"/>
  <c r="Z38" i="5"/>
  <c r="Q41" i="5"/>
  <c r="H39" i="5"/>
  <c r="K48" i="5"/>
  <c r="L48" i="5" s="1"/>
  <c r="C48" i="5" s="1"/>
  <c r="R48" i="5"/>
  <c r="T39" i="5"/>
  <c r="U34" i="5"/>
  <c r="O34" i="5"/>
  <c r="Q38" i="5"/>
  <c r="R39" i="5"/>
  <c r="Z41" i="5"/>
  <c r="G46" i="5"/>
  <c r="W41" i="5"/>
  <c r="G34" i="5"/>
  <c r="N44" i="5"/>
  <c r="M47" i="5"/>
  <c r="H38" i="5"/>
  <c r="Z39" i="5"/>
  <c r="Y41" i="5"/>
  <c r="G48" i="5"/>
  <c r="T46" i="5"/>
  <c r="K46" i="5"/>
  <c r="L46" i="5" s="1"/>
  <c r="C46" i="5" s="1"/>
  <c r="R34" i="5"/>
  <c r="M41" i="5"/>
  <c r="V46" i="5"/>
  <c r="I44" i="5"/>
  <c r="F38" i="5"/>
  <c r="Y46" i="5"/>
  <c r="H34" i="5"/>
  <c r="M34" i="5"/>
  <c r="F44" i="5"/>
  <c r="O47" i="5"/>
  <c r="O38" i="5"/>
  <c r="V39" i="5"/>
  <c r="T41" i="5"/>
  <c r="M48" i="5"/>
  <c r="H46" i="5"/>
  <c r="Z34" i="5"/>
  <c r="Q34" i="5"/>
  <c r="Y44" i="5"/>
  <c r="V38" i="5"/>
  <c r="M39" i="5"/>
  <c r="Z48" i="5"/>
  <c r="Q46" i="5"/>
  <c r="I46" i="5"/>
  <c r="E39" i="5"/>
  <c r="S34" i="5"/>
  <c r="W34" i="5"/>
  <c r="G47" i="5"/>
  <c r="S44" i="5"/>
  <c r="J44" i="5"/>
  <c r="W38" i="5"/>
  <c r="Q47" i="5"/>
  <c r="E47" i="5"/>
  <c r="I38" i="5"/>
  <c r="Y38" i="5"/>
  <c r="R41" i="5"/>
  <c r="I48" i="5"/>
  <c r="H48" i="5"/>
  <c r="O41" i="5"/>
  <c r="Q44" i="5"/>
  <c r="V44" i="5"/>
  <c r="K44" i="5"/>
  <c r="L44" i="5" s="1"/>
  <c r="C44" i="5" s="1"/>
  <c r="I47" i="5"/>
  <c r="U47" i="5"/>
  <c r="F47" i="5"/>
  <c r="K38" i="5"/>
  <c r="L38" i="5" s="1"/>
  <c r="C38" i="5" s="1"/>
  <c r="Y43" i="5"/>
  <c r="X41" i="5"/>
  <c r="R36" i="5"/>
  <c r="F48" i="5"/>
  <c r="Q48" i="5"/>
  <c r="V41" i="5"/>
  <c r="I41" i="5"/>
  <c r="X44" i="5"/>
  <c r="P44" i="5"/>
  <c r="P47" i="5"/>
  <c r="J47" i="5"/>
  <c r="N38" i="5"/>
  <c r="R38" i="5"/>
  <c r="K41" i="5"/>
  <c r="L41" i="5" s="1"/>
  <c r="C41" i="5" s="1"/>
  <c r="T48" i="5"/>
  <c r="E48" i="5"/>
  <c r="X48" i="5"/>
  <c r="N41" i="5"/>
  <c r="H43" i="5"/>
  <c r="H41" i="5"/>
  <c r="R44" i="5"/>
  <c r="Z44" i="5"/>
  <c r="E44" i="5"/>
  <c r="R47" i="5"/>
  <c r="Y47" i="5"/>
  <c r="G38" i="5"/>
  <c r="S38" i="5"/>
  <c r="J38" i="5"/>
  <c r="F41" i="5"/>
  <c r="O48" i="5"/>
  <c r="V48" i="5"/>
  <c r="W48" i="5"/>
  <c r="G43" i="5"/>
  <c r="P41" i="5"/>
  <c r="K47" i="5"/>
  <c r="L47" i="5" s="1"/>
  <c r="C47" i="5" s="1"/>
  <c r="N47" i="5"/>
  <c r="Z47" i="5"/>
  <c r="W47" i="5"/>
  <c r="T47" i="5"/>
  <c r="S41" i="5"/>
  <c r="U41" i="5"/>
  <c r="W36" i="5"/>
  <c r="P49" i="5"/>
  <c r="Q40" i="5"/>
  <c r="J39" i="5"/>
  <c r="X36" i="5"/>
  <c r="Q39" i="5"/>
  <c r="O33" i="5"/>
  <c r="W46" i="5"/>
  <c r="M33" i="5"/>
  <c r="W39" i="5"/>
  <c r="O39" i="5"/>
  <c r="P34" i="5"/>
  <c r="X34" i="5"/>
  <c r="H47" i="5"/>
  <c r="X47" i="5"/>
  <c r="J43" i="5"/>
  <c r="F39" i="5"/>
  <c r="E36" i="5"/>
  <c r="K39" i="5"/>
  <c r="L39" i="5" s="1"/>
  <c r="C39" i="5" s="1"/>
  <c r="R46" i="5"/>
  <c r="U46" i="5"/>
  <c r="V33" i="5"/>
  <c r="K34" i="5"/>
  <c r="L34" i="5" s="1"/>
  <c r="C34" i="5" s="1"/>
  <c r="F34" i="5"/>
  <c r="T45" i="5"/>
  <c r="J46" i="5"/>
  <c r="K36" i="5"/>
  <c r="L36" i="5" s="1"/>
  <c r="C36" i="5" s="1"/>
  <c r="N36" i="5"/>
  <c r="S36" i="5"/>
  <c r="H36" i="5"/>
  <c r="J36" i="5"/>
  <c r="M45" i="5"/>
  <c r="M36" i="5"/>
  <c r="S50" i="5"/>
  <c r="E37" i="5"/>
  <c r="F45" i="5"/>
  <c r="U51" i="5"/>
  <c r="F40" i="5"/>
  <c r="Z37" i="5"/>
  <c r="N42" i="5"/>
  <c r="S43" i="5"/>
  <c r="I40" i="5"/>
  <c r="Q49" i="5"/>
  <c r="Q45" i="5"/>
  <c r="Y37" i="5"/>
  <c r="W37" i="5"/>
  <c r="P51" i="5"/>
  <c r="S47" i="5"/>
  <c r="E43" i="5"/>
  <c r="Y40" i="5"/>
  <c r="I49" i="5"/>
  <c r="O36" i="5"/>
  <c r="P35" i="5"/>
  <c r="R37" i="5"/>
  <c r="G45" i="5"/>
  <c r="X37" i="5"/>
  <c r="U36" i="5"/>
  <c r="O51" i="5"/>
  <c r="N49" i="5"/>
  <c r="W51" i="5"/>
  <c r="X33" i="5"/>
  <c r="M42" i="5"/>
  <c r="K45" i="5"/>
  <c r="L45" i="5" s="1"/>
  <c r="C45" i="5" s="1"/>
  <c r="O43" i="5"/>
  <c r="Z43" i="5"/>
  <c r="S33" i="5"/>
  <c r="V45" i="5"/>
  <c r="V51" i="5"/>
  <c r="J33" i="5"/>
  <c r="N43" i="5"/>
  <c r="Q43" i="5"/>
  <c r="T36" i="5"/>
  <c r="K33" i="5"/>
  <c r="L33" i="5" s="1"/>
  <c r="C33" i="5" s="1"/>
  <c r="I33" i="5"/>
  <c r="I36" i="5"/>
  <c r="P36" i="5"/>
  <c r="U50" i="5"/>
  <c r="Z42" i="5"/>
  <c r="Y36" i="5"/>
  <c r="F22" i="3"/>
  <c r="E22" i="3"/>
  <c r="T35" i="5"/>
  <c r="G35" i="5"/>
  <c r="T50" i="5"/>
  <c r="W35" i="5"/>
  <c r="R50" i="5"/>
  <c r="P42" i="5"/>
  <c r="S42" i="5"/>
  <c r="E20" i="3"/>
  <c r="F20" i="3"/>
  <c r="V40" i="5"/>
  <c r="J45" i="5"/>
  <c r="U35" i="5"/>
  <c r="Z49" i="5"/>
  <c r="S35" i="5"/>
  <c r="F51" i="5"/>
  <c r="X45" i="5"/>
  <c r="G42" i="5"/>
  <c r="I35" i="5"/>
  <c r="M51" i="5"/>
  <c r="F37" i="5"/>
  <c r="W42" i="5"/>
  <c r="K51" i="5"/>
  <c r="L51" i="5" s="1"/>
  <c r="C51" i="5" s="1"/>
  <c r="E42" i="5"/>
  <c r="F9" i="3"/>
  <c r="F10" i="3" s="1"/>
  <c r="F11" i="3" s="1"/>
  <c r="F12" i="3" s="1"/>
  <c r="F13" i="3" s="1"/>
  <c r="F14" i="3" s="1"/>
  <c r="F24" i="3"/>
  <c r="E24" i="3"/>
  <c r="P43" i="5"/>
  <c r="T43" i="5"/>
  <c r="Z40" i="5"/>
  <c r="R40" i="5"/>
  <c r="N40" i="5"/>
  <c r="Y49" i="5"/>
  <c r="O45" i="5"/>
  <c r="V35" i="5"/>
  <c r="N33" i="5"/>
  <c r="F33" i="5"/>
  <c r="K37" i="5"/>
  <c r="L37" i="5" s="1"/>
  <c r="C37" i="5" s="1"/>
  <c r="R35" i="5"/>
  <c r="G33" i="5"/>
  <c r="U33" i="5"/>
  <c r="U43" i="5"/>
  <c r="I42" i="5"/>
  <c r="K42" i="5"/>
  <c r="L42" i="5" s="1"/>
  <c r="C42" i="5" s="1"/>
  <c r="V34" i="5"/>
  <c r="P50" i="5"/>
  <c r="Q50" i="5"/>
  <c r="H42" i="5"/>
  <c r="Z51" i="5"/>
  <c r="N37" i="5"/>
  <c r="S51" i="5"/>
  <c r="U42" i="5"/>
  <c r="F18" i="3"/>
  <c r="E18" i="3"/>
  <c r="F15" i="3"/>
  <c r="F16" i="3" s="1"/>
  <c r="E15" i="3"/>
  <c r="F21" i="3"/>
  <c r="E21" i="3"/>
  <c r="F25" i="3"/>
  <c r="E25" i="3"/>
  <c r="F28" i="3"/>
  <c r="E28" i="3"/>
  <c r="R49" i="5"/>
  <c r="U45" i="5"/>
  <c r="Q51" i="5"/>
  <c r="G50" i="5"/>
  <c r="F42" i="5"/>
  <c r="O40" i="5"/>
  <c r="Z35" i="5"/>
  <c r="Y33" i="5"/>
  <c r="Z46" i="5"/>
  <c r="V36" i="5"/>
  <c r="X39" i="5"/>
  <c r="W33" i="5"/>
  <c r="W49" i="5"/>
  <c r="H50" i="5"/>
  <c r="J50" i="5"/>
  <c r="J51" i="5"/>
  <c r="Q42" i="5"/>
  <c r="T34" i="5"/>
  <c r="E50" i="5"/>
  <c r="K50" i="5"/>
  <c r="L50" i="5" s="1"/>
  <c r="C50" i="5" s="1"/>
  <c r="T42" i="5"/>
  <c r="Z50" i="5"/>
  <c r="S46" i="5"/>
  <c r="O46" i="5"/>
  <c r="E34" i="5"/>
  <c r="N34" i="5"/>
  <c r="F36" i="5"/>
  <c r="E13" i="3"/>
  <c r="H49" i="5"/>
  <c r="V49" i="5"/>
  <c r="W50" i="5"/>
  <c r="V50" i="5"/>
  <c r="F17" i="3"/>
  <c r="E17" i="3"/>
  <c r="Q35" i="5"/>
  <c r="E35" i="5"/>
  <c r="E51" i="5"/>
  <c r="M40" i="5"/>
  <c r="K49" i="5"/>
  <c r="L49" i="5" s="1"/>
  <c r="C49" i="5" s="1"/>
  <c r="E40" i="5"/>
  <c r="J40" i="5"/>
  <c r="X49" i="5"/>
  <c r="G49" i="5"/>
  <c r="R43" i="5"/>
  <c r="W40" i="5"/>
  <c r="P40" i="5"/>
  <c r="X40" i="5"/>
  <c r="K40" i="5"/>
  <c r="L40" i="5" s="1"/>
  <c r="C40" i="5" s="1"/>
  <c r="O49" i="5"/>
  <c r="S49" i="5"/>
  <c r="W45" i="5"/>
  <c r="N35" i="5"/>
  <c r="Z33" i="5"/>
  <c r="P37" i="5"/>
  <c r="Q37" i="5"/>
  <c r="S45" i="5"/>
  <c r="O35" i="5"/>
  <c r="D52" i="5"/>
  <c r="M50" i="5"/>
  <c r="M37" i="5"/>
  <c r="Y51" i="5"/>
  <c r="O42" i="5"/>
  <c r="T33" i="5"/>
  <c r="F50" i="5"/>
  <c r="T51" i="5"/>
  <c r="Y42" i="5"/>
  <c r="F23" i="3"/>
  <c r="E23" i="3"/>
  <c r="E19" i="3"/>
  <c r="F19" i="3"/>
  <c r="Y35" i="5"/>
  <c r="O50" i="5"/>
  <c r="J49" i="5"/>
  <c r="F49" i="5"/>
  <c r="Z45" i="5"/>
  <c r="M49" i="5"/>
  <c r="G51" i="5"/>
  <c r="N50" i="5"/>
  <c r="D29" i="3"/>
  <c r="H40" i="5"/>
  <c r="F35" i="5"/>
  <c r="H35" i="5"/>
  <c r="H37" i="5"/>
  <c r="V37" i="5"/>
  <c r="S40" i="5"/>
  <c r="I45" i="5"/>
  <c r="K35" i="5"/>
  <c r="L35" i="5" s="1"/>
  <c r="C35" i="5" s="1"/>
  <c r="O37" i="5"/>
  <c r="I37" i="5"/>
  <c r="V43" i="5"/>
  <c r="T40" i="5"/>
  <c r="M43" i="5"/>
  <c r="I43" i="5"/>
  <c r="G40" i="5"/>
  <c r="U49" i="5"/>
  <c r="E49" i="5"/>
  <c r="N45" i="5"/>
  <c r="X35" i="5"/>
  <c r="Q33" i="5"/>
  <c r="U37" i="5"/>
  <c r="R45" i="5"/>
  <c r="J35" i="5"/>
  <c r="J37" i="5"/>
  <c r="H45" i="5"/>
  <c r="R51" i="5"/>
  <c r="E45" i="5"/>
  <c r="S37" i="5"/>
  <c r="I50" i="5"/>
  <c r="N51" i="5"/>
  <c r="V42" i="5"/>
  <c r="R42" i="5"/>
  <c r="X50" i="5"/>
  <c r="H51" i="5"/>
  <c r="X51" i="5"/>
  <c r="X42" i="5"/>
  <c r="E27" i="3"/>
  <c r="F27" i="3"/>
  <c r="E12" i="3"/>
  <c r="E26" i="3"/>
  <c r="F26" i="3"/>
  <c r="J30" i="4"/>
  <c r="K27" i="5" l="1"/>
  <c r="F27" i="5"/>
  <c r="I9" i="4" s="1"/>
  <c r="H9" i="4" s="1"/>
  <c r="G52" i="5"/>
  <c r="O52" i="5"/>
  <c r="O27" i="5" s="1"/>
  <c r="I22" i="4" s="1"/>
  <c r="H22" i="4" s="1"/>
  <c r="X52" i="5"/>
  <c r="X27" i="5" s="1"/>
  <c r="H52" i="5"/>
  <c r="R52" i="5"/>
  <c r="R27" i="5" s="1"/>
  <c r="I25" i="4" s="1"/>
  <c r="H25" i="4" s="1"/>
  <c r="H27" i="5"/>
  <c r="I17" i="4" s="1"/>
  <c r="H17" i="4" s="1"/>
  <c r="F52" i="5"/>
  <c r="W52" i="5"/>
  <c r="W27" i="5" s="1"/>
  <c r="I12" i="4" s="1"/>
  <c r="H12" i="4" s="1"/>
  <c r="S52" i="5"/>
  <c r="S27" i="5" s="1"/>
  <c r="I26" i="4" s="1"/>
  <c r="H26" i="4" s="1"/>
  <c r="J52" i="5"/>
  <c r="T52" i="5"/>
  <c r="T27" i="5" s="1"/>
  <c r="I27" i="4" s="1"/>
  <c r="H27" i="4" s="1"/>
  <c r="E29" i="3"/>
  <c r="J27" i="5"/>
  <c r="I19" i="4" s="1"/>
  <c r="H19" i="4" s="1"/>
  <c r="G27" i="5"/>
  <c r="I16" i="4" s="1"/>
  <c r="H16" i="4" s="1"/>
  <c r="P52" i="5"/>
  <c r="P27" i="5" s="1"/>
  <c r="I23" i="4" s="1"/>
  <c r="H23" i="4" s="1"/>
  <c r="Z52" i="5"/>
  <c r="I15" i="4" s="1"/>
  <c r="H15" i="4" s="1"/>
  <c r="V52" i="5"/>
  <c r="V27" i="5" s="1"/>
  <c r="I11" i="4" s="1"/>
  <c r="H11" i="4" s="1"/>
  <c r="U52" i="5"/>
  <c r="U27" i="5" s="1"/>
  <c r="I10" i="4" s="1"/>
  <c r="H10" i="4" s="1"/>
  <c r="I52" i="5"/>
  <c r="E27" i="5"/>
  <c r="I8" i="4" s="1"/>
  <c r="H8" i="4" s="1"/>
  <c r="N52" i="5"/>
  <c r="N27" i="5" s="1"/>
  <c r="I21" i="4" s="1"/>
  <c r="K21" i="4" s="1"/>
  <c r="E52" i="5"/>
  <c r="K52" i="5"/>
  <c r="C52" i="5" s="1"/>
  <c r="I28" i="4" s="1"/>
  <c r="H28" i="4" s="1"/>
  <c r="Y52" i="5"/>
  <c r="Y27" i="5" s="1"/>
  <c r="M52" i="5"/>
  <c r="M27" i="5" s="1"/>
  <c r="I20" i="4" s="1"/>
  <c r="K20" i="4" s="1"/>
  <c r="Q52" i="5"/>
  <c r="Q27" i="5" s="1"/>
  <c r="I24" i="4" s="1"/>
  <c r="K24" i="4" s="1"/>
  <c r="I27" i="5"/>
  <c r="I18" i="4" s="1"/>
  <c r="H18" i="4" s="1"/>
  <c r="O22" i="4" l="1"/>
  <c r="O23" i="4"/>
  <c r="K26" i="4"/>
  <c r="H24" i="4"/>
  <c r="Z27" i="5"/>
  <c r="K22" i="4"/>
  <c r="H20" i="4"/>
  <c r="K25" i="4"/>
  <c r="H21" i="4"/>
  <c r="K23" i="4"/>
  <c r="K27" i="4"/>
  <c r="I13" i="4"/>
  <c r="H13" i="4" s="1"/>
  <c r="K17" i="4"/>
  <c r="I14" i="4"/>
  <c r="H14" i="4" s="1"/>
  <c r="O21" i="4" l="1"/>
  <c r="E30" i="4" s="1"/>
  <c r="E31" i="4" s="1"/>
  <c r="O20" i="4"/>
  <c r="O24" i="4" s="1"/>
  <c r="C33" i="3" l="1"/>
  <c r="J35" i="4"/>
  <c r="J31" i="4"/>
  <c r="F33" i="3" s="1"/>
  <c r="R35" i="4"/>
  <c r="R36" i="4" s="1"/>
  <c r="Q40" i="4" l="1"/>
  <c r="Q41" i="4"/>
  <c r="Q42" i="4"/>
  <c r="Q45" i="4"/>
  <c r="Q44" i="4"/>
  <c r="Q43" i="4"/>
  <c r="S44" i="4" l="1"/>
  <c r="R44" i="4"/>
  <c r="T44" i="4"/>
  <c r="T45" i="4"/>
  <c r="R45" i="4"/>
  <c r="S45" i="4"/>
  <c r="R42" i="4"/>
  <c r="S42" i="4"/>
  <c r="T42" i="4"/>
  <c r="J32" i="4"/>
  <c r="S40" i="4"/>
  <c r="T40" i="4"/>
  <c r="R40" i="4"/>
  <c r="T43" i="4"/>
  <c r="R43" i="4"/>
  <c r="S43" i="4"/>
  <c r="T41" i="4"/>
  <c r="R41" i="4"/>
  <c r="S41" i="4"/>
  <c r="U40" i="4" l="1"/>
  <c r="J16" i="4" s="1"/>
  <c r="K16" i="4" s="1"/>
  <c r="J18" i="4"/>
  <c r="K18" i="4" s="1"/>
  <c r="J19" i="4"/>
  <c r="K19" i="4" s="1"/>
  <c r="F34" i="3"/>
  <c r="J33" i="4"/>
  <c r="F35" i="3" l="1"/>
  <c r="J34" i="4"/>
</calcChain>
</file>

<file path=xl/comments1.xml><?xml version="1.0" encoding="utf-8"?>
<comments xmlns="http://schemas.openxmlformats.org/spreadsheetml/2006/main">
  <authors>
    <author>Richards, Chris</author>
  </authors>
  <commentList>
    <comment ref="E30" authorId="0" shapeId="0">
      <text>
        <r>
          <rPr>
            <sz val="9"/>
            <color indexed="81"/>
            <rFont val="Tahoma"/>
            <family val="2"/>
          </rPr>
          <t xml:space="preserve">Amount of feed the animal is predicted to eat. The units are on the same AF/DM basis selected above. This is only a guide to determine the amount of feed to be fed.
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1 = Large-framed bull calves and compensating large-framed yearling steers.
2 = Large-framed heifer calves and compensating medium-framed yearling heifers.
3 = Large-framed steer calves and compensating medium-framed yearling steers.
4 = Medium-framed bulls
5 = Medium-framed heifer calves
6 = Medium-framed steer calves</t>
        </r>
      </text>
    </comment>
  </commentList>
</comments>
</file>

<file path=xl/sharedStrings.xml><?xml version="1.0" encoding="utf-8"?>
<sst xmlns="http://schemas.openxmlformats.org/spreadsheetml/2006/main" count="495" uniqueCount="431">
  <si>
    <t xml:space="preserve">FEED NAME </t>
  </si>
  <si>
    <t>D.M.%</t>
  </si>
  <si>
    <t>NEM</t>
  </si>
  <si>
    <t>NEG</t>
  </si>
  <si>
    <t>PROT</t>
  </si>
  <si>
    <t>K%</t>
  </si>
  <si>
    <t>CA%</t>
  </si>
  <si>
    <t>PHOS</t>
  </si>
  <si>
    <t>COST</t>
  </si>
  <si>
    <t>MG</t>
  </si>
  <si>
    <t>S</t>
  </si>
  <si>
    <t>CO</t>
  </si>
  <si>
    <t>CU</t>
  </si>
  <si>
    <t>FE</t>
  </si>
  <si>
    <t>MN</t>
  </si>
  <si>
    <t>SE</t>
  </si>
  <si>
    <t>ZN</t>
  </si>
  <si>
    <t>TDN%</t>
  </si>
  <si>
    <t>FIBER</t>
  </si>
  <si>
    <t>COTTON BURRS</t>
  </si>
  <si>
    <t>PRAIRIE HAY</t>
  </si>
  <si>
    <t>SUDAN HAY GOOD</t>
  </si>
  <si>
    <t>SUDAN HAY FAIR</t>
  </si>
  <si>
    <t>OW BLUESTEM GOOD</t>
  </si>
  <si>
    <t>OW BLUESTEM FAIR</t>
  </si>
  <si>
    <t>OAT HAY</t>
  </si>
  <si>
    <t>WHEAT HAY GOOD</t>
  </si>
  <si>
    <t>WHEAT HAY FAIR</t>
  </si>
  <si>
    <t>WHEAT STRAW</t>
  </si>
  <si>
    <t>CORN SILAGE</t>
  </si>
  <si>
    <t>SORGHUM SILAGE</t>
  </si>
  <si>
    <t>OATS</t>
  </si>
  <si>
    <t>ALFALFA PELLETS</t>
  </si>
  <si>
    <t>CORN GLUTEN FEED</t>
  </si>
  <si>
    <t>FAT</t>
  </si>
  <si>
    <t>MUNGBEAN CRACKS</t>
  </si>
  <si>
    <t>RICE BRAN</t>
  </si>
  <si>
    <t>RICE HULLS</t>
  </si>
  <si>
    <t>RICE MILL FEED</t>
  </si>
  <si>
    <t>VITAMIN A-30,000</t>
  </si>
  <si>
    <t>VITAMIN E-50%</t>
  </si>
  <si>
    <t>BOVATEC 68</t>
  </si>
  <si>
    <t>RUMENSIN 80</t>
  </si>
  <si>
    <t>TYLAN 40</t>
  </si>
  <si>
    <t>DICAL</t>
  </si>
  <si>
    <t>LIMESTONE 38%</t>
  </si>
  <si>
    <t>MICROLITE</t>
  </si>
  <si>
    <t>SALT</t>
  </si>
  <si>
    <t>UREA</t>
  </si>
  <si>
    <t>CALCIUM IODATE</t>
  </si>
  <si>
    <t>COBALT CARBONATE</t>
  </si>
  <si>
    <t>COBALT SULFATE</t>
  </si>
  <si>
    <t>COPPER SULFATE</t>
  </si>
  <si>
    <t>EDDI 79.5</t>
  </si>
  <si>
    <t>MAGNESIUM OXIDE</t>
  </si>
  <si>
    <t>MANGANOUS OXIDE</t>
  </si>
  <si>
    <t>POTASSIUM IODIDE</t>
  </si>
  <si>
    <t>SELENIUM 600</t>
  </si>
  <si>
    <t>ZINC OXIDE</t>
  </si>
  <si>
    <t>ZINC SULFATE</t>
  </si>
  <si>
    <t>FEED DRY MATTER PER DAY</t>
  </si>
  <si>
    <t>ANIMAL WEIGHT LBS.</t>
  </si>
  <si>
    <t>BODY TYPE</t>
  </si>
  <si>
    <t xml:space="preserve">NUTRIENT </t>
  </si>
  <si>
    <t>DRY</t>
  </si>
  <si>
    <t>AS FED</t>
  </si>
  <si>
    <t>STATUS</t>
  </si>
  <si>
    <t>NEm Megcal/CWT.</t>
  </si>
  <si>
    <t>NEg Megcal/CWT.</t>
  </si>
  <si>
    <t>TDN %</t>
  </si>
  <si>
    <t>Fat</t>
  </si>
  <si>
    <t>Crude Fiber</t>
  </si>
  <si>
    <t>Crude Protein %</t>
  </si>
  <si>
    <t>Potassium %</t>
  </si>
  <si>
    <t>Calcium %</t>
  </si>
  <si>
    <t>Phosphorus %</t>
  </si>
  <si>
    <t>Magnesium %</t>
  </si>
  <si>
    <t>Sulfur %</t>
  </si>
  <si>
    <t>Cobalt ppm</t>
  </si>
  <si>
    <t>Copper ppm</t>
  </si>
  <si>
    <t>Iron ppm</t>
  </si>
  <si>
    <t>Manganese ppm</t>
  </si>
  <si>
    <t>Selenium ppm</t>
  </si>
  <si>
    <t>Zinc ppm</t>
  </si>
  <si>
    <t>Cost / cwt.</t>
  </si>
  <si>
    <t>CUMULATIVE</t>
  </si>
  <si>
    <t>FEED NAME</t>
  </si>
  <si>
    <t>FEED NO</t>
  </si>
  <si>
    <t>POUNDS</t>
  </si>
  <si>
    <t>AMOUNT</t>
  </si>
  <si>
    <t>FAT%</t>
  </si>
  <si>
    <t>% COMP</t>
  </si>
  <si>
    <t>TOTAL &amp; DM COMP</t>
  </si>
  <si>
    <t>AS FED FEED/DAY</t>
  </si>
  <si>
    <t>CALCULATED GAIN / DAY</t>
  </si>
  <si>
    <t>FEED / # GAIN</t>
  </si>
  <si>
    <t>FD-DM</t>
  </si>
  <si>
    <t>FEED/GN</t>
  </si>
  <si>
    <t>MET SZ</t>
  </si>
  <si>
    <t>GAIN</t>
  </si>
  <si>
    <t>CALC</t>
  </si>
  <si>
    <t>K</t>
  </si>
  <si>
    <t>DEFICIENT</t>
  </si>
  <si>
    <t>LOW RANGE</t>
  </si>
  <si>
    <t>ADEQUATE</t>
  </si>
  <si>
    <t>HIGH RANGE</t>
  </si>
  <si>
    <t>EXCESSIVE</t>
  </si>
  <si>
    <t>TOXIC</t>
  </si>
  <si>
    <t>LARGE-FRAME BULL CALVES AND COMPENSATING LARGE-FRAME YEARLING STEERS.</t>
  </si>
  <si>
    <t>LARGE-FRAME HEIFER CALVES AND COMPENSATING MEDIUM-FRAME YEARLING HEIFERS.</t>
  </si>
  <si>
    <t>LARGE-FRAME STEER CALVES AND COMPENSATING MEDIUM-FRAME YEARLING STEERS.</t>
  </si>
  <si>
    <t>MEDIUM-FRAME BULLS.</t>
  </si>
  <si>
    <t>MEDIUM-FRAME HEIFER CALVES.</t>
  </si>
  <si>
    <t>MEDIUM-FRAME STEER CALVES.</t>
  </si>
  <si>
    <t>NRC</t>
  </si>
  <si>
    <t>POTASSIUM CHLORIDE</t>
  </si>
  <si>
    <t xml:space="preserve">   REQUIREMENT</t>
  </si>
  <si>
    <t>+</t>
  </si>
  <si>
    <t xml:space="preserve"> COMPOSITION</t>
  </si>
  <si>
    <t>ID</t>
  </si>
  <si>
    <t>critical cell-----&gt;&gt;&gt;</t>
  </si>
  <si>
    <t>FEED NAME (17)</t>
  </si>
  <si>
    <t>NUTRIENT CONTRIBUTION  FROM EACH OF THE FEEDS INCLUDED IN THE FORMULA. (below)</t>
  </si>
  <si>
    <t>NUTRIENT COMPOSITION OF FEEDS INCLUDED IN FORMULA.</t>
  </si>
  <si>
    <t>dm parts</t>
  </si>
  <si>
    <t xml:space="preserve">dmcomp </t>
  </si>
  <si>
    <t>RATION DRYMATTER PERCENT-&gt;</t>
  </si>
  <si>
    <t>ADF</t>
  </si>
  <si>
    <t>NDF</t>
  </si>
  <si>
    <t>eNDF</t>
  </si>
  <si>
    <t>% comp</t>
  </si>
  <si>
    <t>Ration Dry Matter</t>
  </si>
  <si>
    <t>CALCULATED DRY MATTER %</t>
  </si>
  <si>
    <t>Desimil as is to dry matter</t>
  </si>
  <si>
    <t>Desimil dry matter</t>
  </si>
  <si>
    <t>% AS Mixed</t>
  </si>
  <si>
    <t>% of DM</t>
  </si>
  <si>
    <t>COTTONFLO</t>
  </si>
  <si>
    <t>FUZZPELLET</t>
  </si>
  <si>
    <t>Tifton 85 Haylage</t>
  </si>
  <si>
    <t>Barley Malt Sprout Pellets</t>
  </si>
  <si>
    <t>BY D.R. GILL, D.L. LALMAN, and C.J. RICHARDS</t>
  </si>
  <si>
    <t>DEVELOPED AT OKLAHOMA STATE UNIVERSITY</t>
  </si>
  <si>
    <t>DEVELOPED AT OKLAHOMA STATE UNIVERSITY; BY D.R. GILL, D.L. LALMAN and C.J. RICHARDS</t>
  </si>
  <si>
    <t>Dry Matter Basis</t>
  </si>
  <si>
    <t>Select here</t>
  </si>
  <si>
    <t>As Fed Basis</t>
  </si>
  <si>
    <t>ORIGINAL FORMULATION ON:</t>
  </si>
  <si>
    <t>COST    (as fed)</t>
  </si>
  <si>
    <t xml:space="preserve">DEVELOPED AT OKLAHOMA STATE UNIVERSITY </t>
  </si>
  <si>
    <t>Ration Name:</t>
  </si>
  <si>
    <t>%</t>
  </si>
  <si>
    <t>COST      (as fed)</t>
  </si>
  <si>
    <t>DRY MATTER BASIS</t>
  </si>
  <si>
    <t>FEED ONLY COST OF GAIN, $/cwt</t>
  </si>
  <si>
    <t>Select Formulation Basis from Drop Down:</t>
  </si>
  <si>
    <t>DRY MATTER INTAKE, % INITIAL BODY WEIGHT</t>
  </si>
  <si>
    <t>LB BATCH</t>
  </si>
  <si>
    <t>FEEDING SHEET FOR:</t>
  </si>
  <si>
    <t>FORMULATED FOR AN ANIMAL WITH THE FOLLOWING SPECIFICATIONS:</t>
  </si>
  <si>
    <t>COST    ($/cwt as fed)</t>
  </si>
  <si>
    <t>COST, $/cwt</t>
  </si>
  <si>
    <t>A&amp;M 8% P All Purpose Mineral</t>
  </si>
  <si>
    <t>A&amp;M 12% HY-Phos w/ Se</t>
  </si>
  <si>
    <t>NEM, Mcal/cwt</t>
  </si>
  <si>
    <t>NEG, Mcal/cwt</t>
  </si>
  <si>
    <t>PROT, %</t>
  </si>
  <si>
    <t>PHOS, %</t>
  </si>
  <si>
    <t>MG, %</t>
  </si>
  <si>
    <t>S, %</t>
  </si>
  <si>
    <t>CO, ppm</t>
  </si>
  <si>
    <t>CU, ppm</t>
  </si>
  <si>
    <t>FE, ppm</t>
  </si>
  <si>
    <t>MN, ppm</t>
  </si>
  <si>
    <t>SE, ppm</t>
  </si>
  <si>
    <t>ZN, ppm</t>
  </si>
  <si>
    <t>FAT , %</t>
  </si>
  <si>
    <t>Crude Fiber, %</t>
  </si>
  <si>
    <t>ADF, %</t>
  </si>
  <si>
    <t>NDF, %</t>
  </si>
  <si>
    <t>eNDF, %</t>
  </si>
  <si>
    <t>HAY</t>
  </si>
  <si>
    <t>ALFALFA CUBES</t>
  </si>
  <si>
    <t>ALFALFA HAY, EXC</t>
  </si>
  <si>
    <t>ALFALFA HAY, FAIR</t>
  </si>
  <si>
    <t>ALFALFA HAY, GOOD</t>
  </si>
  <si>
    <t>ALFALFA HAY, POOR</t>
  </si>
  <si>
    <t>BARLEY HAY</t>
  </si>
  <si>
    <t>BERMUDA HAY, FAIR</t>
  </si>
  <si>
    <t>BERMUDAGRASS HAY</t>
  </si>
  <si>
    <t>CORN STALK HAY</t>
  </si>
  <si>
    <t>CORN, WHOLE HAY</t>
  </si>
  <si>
    <t>FORAGE CUBES</t>
  </si>
  <si>
    <t>FORAGE PELLETS</t>
  </si>
  <si>
    <t>GRASS CUBES</t>
  </si>
  <si>
    <t xml:space="preserve">GRASS HAY </t>
  </si>
  <si>
    <t>GRASS PELLETS</t>
  </si>
  <si>
    <t>LEAVES, MISC., DRY</t>
  </si>
  <si>
    <t xml:space="preserve">LEGUME HAY </t>
  </si>
  <si>
    <t>MILLET HAY</t>
  </si>
  <si>
    <t>MILO STALK HAY</t>
  </si>
  <si>
    <t>MILO-SOYBEAN HAY</t>
  </si>
  <si>
    <t>MIXED MAINLY GRASS HAY</t>
  </si>
  <si>
    <t>MIXED MAINLY LEGUME HAY</t>
  </si>
  <si>
    <t>PEANUT HAY</t>
  </si>
  <si>
    <t>PEAVINE HAY</t>
  </si>
  <si>
    <t>PINEAPPLE FORAGE</t>
  </si>
  <si>
    <t>RICE HAY</t>
  </si>
  <si>
    <t>RYE HAY</t>
  </si>
  <si>
    <t>SMALL GRAIN HAY</t>
  </si>
  <si>
    <t>SORGHUM HAY</t>
  </si>
  <si>
    <t>SORGHUM-SUDAN HAY</t>
  </si>
  <si>
    <t>SOYBEAN HAY</t>
  </si>
  <si>
    <t>STRAW</t>
  </si>
  <si>
    <t>SUDANGRASS HAY</t>
  </si>
  <si>
    <t>SUGARCANE BAGASSE, DRY</t>
  </si>
  <si>
    <t>SUGARCANE HAY</t>
  </si>
  <si>
    <t>SUNFLOWER HAY</t>
  </si>
  <si>
    <t>TRITICALE &amp; PEA HAY</t>
  </si>
  <si>
    <t>TRITICALE HAY</t>
  </si>
  <si>
    <t>WHEAT HAY</t>
  </si>
  <si>
    <t>PASTURE / FRESH CHOP</t>
  </si>
  <si>
    <t>FRESH PEAVINE FORAGE</t>
  </si>
  <si>
    <t>FRESH PINEAPPLE FORAGE</t>
  </si>
  <si>
    <t>FRESH RICE FORAGE</t>
  </si>
  <si>
    <t>FRESH SMALL GRAIN FORAGE</t>
  </si>
  <si>
    <t>FRESH SORGHUM-SUDAN FORAGE</t>
  </si>
  <si>
    <t>FRESH SUGARCANE</t>
  </si>
  <si>
    <t>FRESH TRITICALE/PEA FORAGE</t>
  </si>
  <si>
    <t>FRESH BARLEY FORAGE</t>
  </si>
  <si>
    <t>FRESH BERMUDA GRASS</t>
  </si>
  <si>
    <t>FRESH BRASSICA FORAGE</t>
  </si>
  <si>
    <t>FRESH BROWSE, MISC.</t>
  </si>
  <si>
    <t>FRESH CORN FORAGE</t>
  </si>
  <si>
    <t>FRESH CORN STALKS</t>
  </si>
  <si>
    <t>FRESH GRASS FORAGE</t>
  </si>
  <si>
    <t>FRESH LEAVES, MISC.</t>
  </si>
  <si>
    <t>FRESH LEGUME FORAGE</t>
  </si>
  <si>
    <t>FRESH MILLET FORAGE</t>
  </si>
  <si>
    <t>FRESH MIXED MOSTLY GRASS FORAGE</t>
  </si>
  <si>
    <t>FRESH MIXED MOSTLY LEGUME FORAGE</t>
  </si>
  <si>
    <t>FRESH OAT FORAGE</t>
  </si>
  <si>
    <t>FRESH PEANUT FORAGE</t>
  </si>
  <si>
    <t>FRESH PROCESSED CORN</t>
  </si>
  <si>
    <t>FRESH RYE FORAGE</t>
  </si>
  <si>
    <t>FRESH SORGHUM FORAGE</t>
  </si>
  <si>
    <t>FRESH SOYBEAN FORAGE</t>
  </si>
  <si>
    <t>FRESH STRAW FORAGE</t>
  </si>
  <si>
    <t>FRESH SUDAN GRASS</t>
  </si>
  <si>
    <t>FRESH SUGARCANE BAGASSE</t>
  </si>
  <si>
    <t>FRESH  SUNFLOWER</t>
  </si>
  <si>
    <t>FRESH SWEET CORN</t>
  </si>
  <si>
    <t>FRESH TRITICALE FORAGE</t>
  </si>
  <si>
    <t>FRESH WHEAT FORAGE</t>
  </si>
  <si>
    <t>FRESH WOODY PLANTS</t>
  </si>
  <si>
    <t>GRASS PASTURE</t>
  </si>
  <si>
    <t>LEGUME PASTURE</t>
  </si>
  <si>
    <t>MIXED MOSTLY GRASS PASTURE</t>
  </si>
  <si>
    <t>MIXED MOSTLY LEGUME PASTURE</t>
  </si>
  <si>
    <t>WOODY PLANTS</t>
  </si>
  <si>
    <t>SILAGES</t>
  </si>
  <si>
    <t>BARLEY SILAGE</t>
  </si>
  <si>
    <t>BERMUDAGRASS SILAGE</t>
  </si>
  <si>
    <t>CORN SIL &amp; SUNFLOWER</t>
  </si>
  <si>
    <t>CORN STALKLAGE</t>
  </si>
  <si>
    <t>GRASS SILAGE</t>
  </si>
  <si>
    <t>LEGUME SILAGE</t>
  </si>
  <si>
    <t>MILLET SILAGE</t>
  </si>
  <si>
    <t>MILLET/SOYBEAN SIL</t>
  </si>
  <si>
    <t>MILO/SOYBEAN SIL</t>
  </si>
  <si>
    <t>MIXED MAINLY GRASS SILAGE</t>
  </si>
  <si>
    <t>MIXED MAINLY LEGUME SILAGE</t>
  </si>
  <si>
    <t>OAT SILAGE</t>
  </si>
  <si>
    <t>PEANUT SILAGE</t>
  </si>
  <si>
    <t>PEAVINE SILAGE</t>
  </si>
  <si>
    <t>PROCESSED CORN SILAGE</t>
  </si>
  <si>
    <t>RICE SILAGE</t>
  </si>
  <si>
    <t>RYE SILAGE</t>
  </si>
  <si>
    <t>SMALL GRAIN SILAGE</t>
  </si>
  <si>
    <t>SORGHUM SUDAN SILAGE</t>
  </si>
  <si>
    <t>SOYBEAN SILAGE</t>
  </si>
  <si>
    <t>STRAW SILAGE</t>
  </si>
  <si>
    <t>SUDAN GRASS SILAGE</t>
  </si>
  <si>
    <t>SUGARCANE BAGASSE, SILAGE</t>
  </si>
  <si>
    <t>SUGARCANE SILAGE</t>
  </si>
  <si>
    <t>SUNFLOWER SILAGE</t>
  </si>
  <si>
    <t>SWEET CORN SILAGE</t>
  </si>
  <si>
    <t>TRITICALE SILAGE</t>
  </si>
  <si>
    <t>TRITICALE/PEA SILAGE</t>
  </si>
  <si>
    <t>WHEAT SILAGE</t>
  </si>
  <si>
    <t>BYPRODUCTS - ENERGY/PROTEIN</t>
  </si>
  <si>
    <t>ANIMAL BYPRODUCT, DRY</t>
  </si>
  <si>
    <t>ANIMAL BYPRODUCT, WET</t>
  </si>
  <si>
    <t>BAKERY BY PRODUCT, DRY</t>
  </si>
  <si>
    <t>BREAD, WET</t>
  </si>
  <si>
    <t>BREADING</t>
  </si>
  <si>
    <t>BREW CONDENSED SOL.</t>
  </si>
  <si>
    <t>BUCKWHEAT, DRY</t>
  </si>
  <si>
    <t>CANDY BYPRODUCT, DRY</t>
  </si>
  <si>
    <t>CEREAL BYPRODUCT,DRY</t>
  </si>
  <si>
    <t>CHOCOLATE BYPRODUCT, DRY</t>
  </si>
  <si>
    <t>COMPOST, WET</t>
  </si>
  <si>
    <t>COOKIE BYPRODUCT, DRY</t>
  </si>
  <si>
    <t>CORN BRAN</t>
  </si>
  <si>
    <t>CORN STEEP LIQUOR</t>
  </si>
  <si>
    <t>CORN SWEET BRAN, WET</t>
  </si>
  <si>
    <t>DIST CONDENSED SOL.</t>
  </si>
  <si>
    <t>DIST GRAIN, MILO</t>
  </si>
  <si>
    <t>DISTILLERS GRAINS</t>
  </si>
  <si>
    <t>POTATO BYPRODUCT, DRY</t>
  </si>
  <si>
    <t>POTATO BYPRODUCT, WET</t>
  </si>
  <si>
    <t>POULTRY LITTER, WET</t>
  </si>
  <si>
    <t>RICE POLISHINGS, DRY</t>
  </si>
  <si>
    <t>SNACK FOOD</t>
  </si>
  <si>
    <t>SNACK FOOD, DRY</t>
  </si>
  <si>
    <t>SOY BYPRODUCT</t>
  </si>
  <si>
    <t>TAPIOCA (CASSAVA), DRY</t>
  </si>
  <si>
    <t>TOFU BYPRODUCT, DRY</t>
  </si>
  <si>
    <t>TOFU BYPRODUCT, WET</t>
  </si>
  <si>
    <t>VEGETABLE BY-PRODUCT, WET</t>
  </si>
  <si>
    <t>WET BREWERS GRAINS</t>
  </si>
  <si>
    <t>WET CORN GLUTEN FEED</t>
  </si>
  <si>
    <t>WET DISTILLERS GRAIN</t>
  </si>
  <si>
    <t>WET PET FOOD</t>
  </si>
  <si>
    <t>BYPRODUCTS - FIBER</t>
  </si>
  <si>
    <t>ALMOND HULLS, DRY</t>
  </si>
  <si>
    <t>ALMOND HULLS, WET</t>
  </si>
  <si>
    <t>APPLE POMACE, WET</t>
  </si>
  <si>
    <t>BEET PULP, DRY</t>
  </si>
  <si>
    <t>BEET PULP, WET</t>
  </si>
  <si>
    <t>CITRUS PULP, DRY</t>
  </si>
  <si>
    <t>CORN COBS, DRY</t>
  </si>
  <si>
    <t>CORN COBS, WET</t>
  </si>
  <si>
    <t>COTTON GIN TRASH, DRY</t>
  </si>
  <si>
    <t>COTTONSEED HULLS, DRY</t>
  </si>
  <si>
    <t>PEANUT HULLS, DRY</t>
  </si>
  <si>
    <t>POULTRY LITTER, DRY</t>
  </si>
  <si>
    <t>RICE BYPRODUCTS, DRY</t>
  </si>
  <si>
    <t>GRAINS / CONCENTRATE</t>
  </si>
  <si>
    <t>BARLEY, DRY</t>
  </si>
  <si>
    <t>BEANS, DRY</t>
  </si>
  <si>
    <t>BEANS, WET</t>
  </si>
  <si>
    <t>BLOOD MEAL, DRY</t>
  </si>
  <si>
    <t>BRASSICA, WET</t>
  </si>
  <si>
    <t>BREWERS GRAINS</t>
  </si>
  <si>
    <t>CANOLA MEAL, DRY</t>
  </si>
  <si>
    <t>CANOLA SEED</t>
  </si>
  <si>
    <t>CARROTS, WET</t>
  </si>
  <si>
    <t>CITRUS PULP, WET</t>
  </si>
  <si>
    <t>COCONUT MEAL, DRY</t>
  </si>
  <si>
    <t>CORN</t>
  </si>
  <si>
    <t>CORN GERM MEAL, DRY</t>
  </si>
  <si>
    <t>CORN GLUTEN MEAL</t>
  </si>
  <si>
    <t>CORN SNAPLAGE, WET</t>
  </si>
  <si>
    <t>COTTONSEED MEAL, DRY</t>
  </si>
  <si>
    <t>COTTONSEED, DELINTED</t>
  </si>
  <si>
    <t>COTTONSEED, EXTRUDED</t>
  </si>
  <si>
    <t>COTTONSEEDS, WHOLE, DRY</t>
  </si>
  <si>
    <t>EAR CORN</t>
  </si>
  <si>
    <t>FEATHER MEAL, DRY</t>
  </si>
  <si>
    <t>FISH MEAL, DRY</t>
  </si>
  <si>
    <t>FLAXSEED</t>
  </si>
  <si>
    <t>FRUIT BYPRODUCT, DRY</t>
  </si>
  <si>
    <t>FRUIT BYPRODUCT, WET</t>
  </si>
  <si>
    <t>GRAIN SCREENINGS, DRY</t>
  </si>
  <si>
    <t>GRAPE POMACE, DRY</t>
  </si>
  <si>
    <t>GRAPE POMACE, WET</t>
  </si>
  <si>
    <t>HI MOIST EAR CORN</t>
  </si>
  <si>
    <t>HI MOIST SHELL CORN</t>
  </si>
  <si>
    <t>HOMINY FEED, DRY</t>
  </si>
  <si>
    <t>LINSEED MEAL, DRY</t>
  </si>
  <si>
    <t>LUPINE BEANS, DRY</t>
  </si>
  <si>
    <t>MALT SPROUTS, DRY</t>
  </si>
  <si>
    <t>MEAT &amp; BONE MEAL, DRY</t>
  </si>
  <si>
    <t>MEAT MEAL, DRY</t>
  </si>
  <si>
    <t>MILK REPLACER, DRY</t>
  </si>
  <si>
    <t>MILLET, DRY</t>
  </si>
  <si>
    <t>MILO/SORGHUM, DRY</t>
  </si>
  <si>
    <t>MOLASSES</t>
  </si>
  <si>
    <t>OAT HULLS, DRY</t>
  </si>
  <si>
    <t>PALM KERNEL MEAL</t>
  </si>
  <si>
    <t>PASTA, DRY</t>
  </si>
  <si>
    <t>PEANUT MEAL, DRY</t>
  </si>
  <si>
    <t>PEAS, DRY</t>
  </si>
  <si>
    <t>PET FOOD</t>
  </si>
  <si>
    <t>POTATO/CORN MIX, WET</t>
  </si>
  <si>
    <t>POTATOES, WET</t>
  </si>
  <si>
    <t>POULTRY MEAL</t>
  </si>
  <si>
    <t>RICE BRAN, DRY</t>
  </si>
  <si>
    <t>RICE, DRY</t>
  </si>
  <si>
    <t>RYE GRAIN, DRY</t>
  </si>
  <si>
    <t>SAFFLOWER MEAL, DRY</t>
  </si>
  <si>
    <t>SOYBEAN HULLS, DRY</t>
  </si>
  <si>
    <t>SOYBEAN MEAL, DRY</t>
  </si>
  <si>
    <t>SOYBEAN MEAL, HEATED</t>
  </si>
  <si>
    <t>SOYBEANS, DRY</t>
  </si>
  <si>
    <t>SOYBEANS, EXTRUDED DRY</t>
  </si>
  <si>
    <t>SOYBEANS, HEAT PROC.</t>
  </si>
  <si>
    <t>STEAM FLAKED CORN</t>
  </si>
  <si>
    <t>SUNFLOWER MEAL, DRY</t>
  </si>
  <si>
    <t>SUNFLOWER SEED, DRY</t>
  </si>
  <si>
    <t>TOMATOES, WET</t>
  </si>
  <si>
    <t>TRITICALE, DRY</t>
  </si>
  <si>
    <t>WHEAT BRAN, DRY</t>
  </si>
  <si>
    <t>WHEAT GERM MEAL, DRY</t>
  </si>
  <si>
    <t>WHEAT MIDDS, DRY</t>
  </si>
  <si>
    <t>WHEAT, DRY</t>
  </si>
  <si>
    <t>WHEY</t>
  </si>
  <si>
    <t>YEAST, DRY</t>
  </si>
  <si>
    <t>VITAMINS</t>
  </si>
  <si>
    <t>FEED ADDITIVES</t>
  </si>
  <si>
    <t>MINERALS</t>
  </si>
  <si>
    <t>CUSTOM ADDITIONS</t>
  </si>
  <si>
    <t>Predicted intake</t>
  </si>
  <si>
    <t>NEma</t>
  </si>
  <si>
    <t>Calf DMI</t>
  </si>
  <si>
    <t>Yearling DMI</t>
  </si>
  <si>
    <t>PRED DMI</t>
  </si>
  <si>
    <t>OKLAHOMA STATE UNIVERSITY BEEF CATTLE RATION CALCULATOR 2013</t>
  </si>
  <si>
    <t>WATER</t>
  </si>
  <si>
    <t>Copyright 2013. Oklahoma Board of Regents for A&amp;M Colleges.</t>
  </si>
  <si>
    <t>Fodder, OAT</t>
  </si>
  <si>
    <t>Fodder, WHEAT</t>
  </si>
  <si>
    <t>Fodder, WHEAT 2</t>
  </si>
  <si>
    <t>ENTER ANIMAL WEIGHT LBS.</t>
  </si>
  <si>
    <t>ENTER BODY TYPE</t>
  </si>
  <si>
    <t>ENTER AS FED FEED/DAY</t>
  </si>
  <si>
    <t>ENTER FEED DRY MATTER PER DAY</t>
  </si>
  <si>
    <t>CALVES</t>
  </si>
  <si>
    <t>YEARLINGS</t>
  </si>
  <si>
    <t>ENTER CALVES OR YEARLINGS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</si>
</sst>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.00_)"/>
    <numFmt numFmtId="166" formatCode="0.0_)"/>
    <numFmt numFmtId="167" formatCode="0.000_)"/>
    <numFmt numFmtId="168" formatCode="0.0000"/>
    <numFmt numFmtId="169" formatCode="0.0"/>
    <numFmt numFmtId="170" formatCode="0.000"/>
  </numFmts>
  <fonts count="50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11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0"/>
      <name val="Courier"/>
      <family val="3"/>
    </font>
    <font>
      <sz val="10"/>
      <name val="Courier"/>
      <family val="3"/>
    </font>
    <font>
      <b/>
      <sz val="14"/>
      <color indexed="8"/>
      <name val="Arial"/>
      <family val="2"/>
    </font>
    <font>
      <sz val="14"/>
      <name val="Courier"/>
      <family val="3"/>
    </font>
    <font>
      <b/>
      <sz val="11"/>
      <color indexed="8"/>
      <name val="Arial"/>
      <family val="2"/>
    </font>
    <font>
      <b/>
      <sz val="11"/>
      <name val="Courier"/>
      <family val="3"/>
    </font>
    <font>
      <b/>
      <sz val="14"/>
      <color indexed="54"/>
      <name val="Arial"/>
      <family val="2"/>
    </font>
    <font>
      <sz val="14"/>
      <name val="Arial"/>
      <family val="2"/>
    </font>
    <font>
      <b/>
      <sz val="12"/>
      <color indexed="5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name val="Courier"/>
      <family val="3"/>
    </font>
    <font>
      <sz val="11.5"/>
      <name val="Arial"/>
      <family val="2"/>
    </font>
    <font>
      <sz val="11.5"/>
      <color indexed="12"/>
      <name val="Arial"/>
      <family val="2"/>
    </font>
    <font>
      <sz val="11.5"/>
      <name val="Courier"/>
      <family val="3"/>
    </font>
    <font>
      <sz val="12"/>
      <color indexed="8"/>
      <name val="Arial"/>
      <family val="2"/>
    </font>
    <font>
      <sz val="12"/>
      <name val="Courier"/>
      <family val="3"/>
    </font>
    <font>
      <b/>
      <sz val="12"/>
      <color indexed="56"/>
      <name val="Arial"/>
      <family val="2"/>
    </font>
    <font>
      <b/>
      <sz val="12"/>
      <color rgb="FFFF0000"/>
      <name val="Arial"/>
      <family val="2"/>
    </font>
    <font>
      <sz val="12"/>
      <color theme="0"/>
      <name val="Courier"/>
      <family val="3"/>
    </font>
    <font>
      <sz val="12"/>
      <color theme="1"/>
      <name val="Arial"/>
      <family val="2"/>
    </font>
    <font>
      <b/>
      <sz val="12"/>
      <color theme="7" tint="-0.2499465926084170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ourier"/>
      <family val="3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164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68">
    <xf numFmtId="164" fontId="0" fillId="0" borderId="0" xfId="0"/>
    <xf numFmtId="164" fontId="0" fillId="0" borderId="0" xfId="0" applyAlignment="1" applyProtection="1">
      <alignment horizontal="left"/>
    </xf>
    <xf numFmtId="164" fontId="1" fillId="0" borderId="0" xfId="0" applyFont="1" applyAlignment="1" applyProtection="1">
      <alignment horizontal="left"/>
    </xf>
    <xf numFmtId="164" fontId="1" fillId="0" borderId="0" xfId="0" applyFont="1" applyProtection="1"/>
    <xf numFmtId="165" fontId="1" fillId="0" borderId="0" xfId="0" applyNumberFormat="1" applyFont="1" applyProtection="1"/>
    <xf numFmtId="164" fontId="1" fillId="0" borderId="0" xfId="0" applyFont="1" applyAlignment="1" applyProtection="1">
      <alignment horizontal="fill"/>
    </xf>
    <xf numFmtId="7" fontId="1" fillId="0" borderId="0" xfId="0" applyNumberFormat="1" applyFont="1" applyProtection="1"/>
    <xf numFmtId="164" fontId="1" fillId="0" borderId="0" xfId="0" applyFont="1" applyProtection="1"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65" fontId="3" fillId="0" borderId="0" xfId="0" applyNumberFormat="1" applyFont="1" applyFill="1" applyProtection="1"/>
    <xf numFmtId="164" fontId="3" fillId="0" borderId="0" xfId="0" applyFont="1" applyBorder="1" applyAlignment="1" applyProtection="1">
      <alignment horizontal="center"/>
    </xf>
    <xf numFmtId="169" fontId="1" fillId="0" borderId="0" xfId="0" applyNumberFormat="1" applyFont="1" applyProtection="1">
      <protection hidden="1"/>
    </xf>
    <xf numFmtId="164" fontId="0" fillId="0" borderId="0" xfId="0" applyProtection="1">
      <protection hidden="1"/>
    </xf>
    <xf numFmtId="164" fontId="7" fillId="0" borderId="0" xfId="0" applyFont="1" applyProtection="1">
      <protection hidden="1"/>
    </xf>
    <xf numFmtId="164" fontId="5" fillId="0" borderId="0" xfId="0" quotePrefix="1" applyFont="1" applyAlignment="1" applyProtection="1">
      <alignment horizontal="left"/>
      <protection hidden="1"/>
    </xf>
    <xf numFmtId="164" fontId="5" fillId="0" borderId="0" xfId="0" applyFont="1" applyProtection="1">
      <protection hidden="1"/>
    </xf>
    <xf numFmtId="164" fontId="3" fillId="0" borderId="0" xfId="0" applyFont="1" applyBorder="1" applyProtection="1">
      <protection hidden="1"/>
    </xf>
    <xf numFmtId="164" fontId="9" fillId="0" borderId="0" xfId="0" applyFont="1" applyProtection="1">
      <protection hidden="1"/>
    </xf>
    <xf numFmtId="164" fontId="8" fillId="0" borderId="0" xfId="0" applyFont="1" applyProtection="1">
      <protection hidden="1"/>
    </xf>
    <xf numFmtId="164" fontId="0" fillId="0" borderId="0" xfId="0" applyFill="1"/>
    <xf numFmtId="164" fontId="3" fillId="0" borderId="0" xfId="0" applyFont="1" applyProtection="1"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6" fontId="3" fillId="0" borderId="0" xfId="0" applyNumberFormat="1" applyFont="1" applyBorder="1" applyProtection="1">
      <protection hidden="1"/>
    </xf>
    <xf numFmtId="165" fontId="3" fillId="0" borderId="1" xfId="0" applyNumberFormat="1" applyFont="1" applyBorder="1" applyProtection="1">
      <protection hidden="1"/>
    </xf>
    <xf numFmtId="164" fontId="3" fillId="0" borderId="2" xfId="0" applyFont="1" applyBorder="1" applyProtection="1">
      <protection hidden="1"/>
    </xf>
    <xf numFmtId="164" fontId="1" fillId="0" borderId="2" xfId="0" applyFont="1" applyBorder="1" applyProtection="1">
      <protection hidden="1"/>
    </xf>
    <xf numFmtId="164" fontId="3" fillId="0" borderId="0" xfId="0" applyNumberFormat="1" applyFont="1" applyProtection="1">
      <protection hidden="1"/>
    </xf>
    <xf numFmtId="167" fontId="3" fillId="0" borderId="0" xfId="0" applyNumberFormat="1" applyFont="1" applyBorder="1" applyProtection="1"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0" fillId="0" borderId="0" xfId="0" applyFont="1" applyProtection="1">
      <protection hidden="1"/>
    </xf>
    <xf numFmtId="164" fontId="21" fillId="0" borderId="0" xfId="0" applyFont="1"/>
    <xf numFmtId="164" fontId="21" fillId="0" borderId="0" xfId="0" applyFont="1" applyProtection="1">
      <protection hidden="1"/>
    </xf>
    <xf numFmtId="165" fontId="23" fillId="0" borderId="0" xfId="0" applyNumberFormat="1" applyFont="1" applyBorder="1" applyProtection="1">
      <protection hidden="1"/>
    </xf>
    <xf numFmtId="164" fontId="22" fillId="0" borderId="2" xfId="0" quotePrefix="1" applyFont="1" applyBorder="1" applyAlignment="1" applyProtection="1">
      <alignment horizontal="left"/>
      <protection hidden="1"/>
    </xf>
    <xf numFmtId="164" fontId="22" fillId="0" borderId="0" xfId="0" applyFont="1" applyAlignment="1" applyProtection="1">
      <alignment horizontal="center"/>
      <protection hidden="1"/>
    </xf>
    <xf numFmtId="164" fontId="22" fillId="0" borderId="3" xfId="0" quotePrefix="1" applyFont="1" applyBorder="1" applyAlignment="1" applyProtection="1">
      <alignment horizontal="center"/>
      <protection hidden="1"/>
    </xf>
    <xf numFmtId="164" fontId="22" fillId="0" borderId="3" xfId="0" applyFont="1" applyBorder="1" applyAlignment="1" applyProtection="1">
      <alignment horizontal="center"/>
      <protection hidden="1"/>
    </xf>
    <xf numFmtId="164" fontId="22" fillId="0" borderId="3" xfId="0" applyFont="1" applyBorder="1" applyAlignment="1" applyProtection="1">
      <alignment horizontal="center" wrapText="1"/>
      <protection hidden="1"/>
    </xf>
    <xf numFmtId="164" fontId="22" fillId="0" borderId="3" xfId="0" applyFont="1" applyBorder="1" applyAlignment="1" applyProtection="1">
      <alignment horizontal="left"/>
      <protection hidden="1"/>
    </xf>
    <xf numFmtId="164" fontId="22" fillId="0" borderId="4" xfId="0" applyFont="1" applyBorder="1" applyAlignment="1" applyProtection="1">
      <alignment horizontal="center"/>
      <protection hidden="1"/>
    </xf>
    <xf numFmtId="164" fontId="22" fillId="0" borderId="5" xfId="0" applyFont="1" applyBorder="1" applyAlignment="1" applyProtection="1">
      <alignment horizontal="left"/>
      <protection hidden="1"/>
    </xf>
    <xf numFmtId="164" fontId="24" fillId="3" borderId="6" xfId="0" applyFont="1" applyFill="1" applyBorder="1" applyProtection="1">
      <protection locked="0"/>
    </xf>
    <xf numFmtId="10" fontId="24" fillId="0" borderId="0" xfId="2" applyNumberFormat="1" applyFont="1" applyFill="1" applyProtection="1">
      <protection hidden="1"/>
    </xf>
    <xf numFmtId="44" fontId="21" fillId="0" borderId="0" xfId="1" applyFont="1" applyAlignment="1" applyProtection="1">
      <alignment horizontal="center"/>
      <protection hidden="1"/>
    </xf>
    <xf numFmtId="164" fontId="22" fillId="0" borderId="0" xfId="0" applyFont="1" applyFill="1" applyAlignment="1" applyProtection="1">
      <alignment horizontal="left"/>
      <protection hidden="1"/>
    </xf>
    <xf numFmtId="2" fontId="21" fillId="0" borderId="0" xfId="0" applyNumberFormat="1" applyFont="1" applyFill="1" applyProtection="1">
      <protection hidden="1"/>
    </xf>
    <xf numFmtId="2" fontId="22" fillId="0" borderId="0" xfId="0" applyNumberFormat="1" applyFont="1" applyFill="1" applyProtection="1">
      <protection hidden="1"/>
    </xf>
    <xf numFmtId="164" fontId="21" fillId="0" borderId="0" xfId="0" quotePrefix="1" applyFont="1" applyFill="1" applyAlignment="1" applyProtection="1">
      <alignment horizontal="center"/>
      <protection hidden="1"/>
    </xf>
    <xf numFmtId="164" fontId="21" fillId="0" borderId="7" xfId="0" applyFont="1" applyBorder="1" applyProtection="1">
      <protection hidden="1"/>
    </xf>
    <xf numFmtId="164" fontId="24" fillId="3" borderId="8" xfId="0" applyFont="1" applyFill="1" applyBorder="1" applyProtection="1">
      <protection locked="0"/>
    </xf>
    <xf numFmtId="164" fontId="22" fillId="0" borderId="0" xfId="0" applyFont="1" applyProtection="1">
      <protection hidden="1"/>
    </xf>
    <xf numFmtId="2" fontId="22" fillId="0" borderId="0" xfId="0" applyNumberFormat="1" applyFont="1" applyAlignment="1" applyProtection="1">
      <protection hidden="1"/>
    </xf>
    <xf numFmtId="164" fontId="24" fillId="3" borderId="8" xfId="0" applyFont="1" applyFill="1" applyBorder="1" applyProtection="1">
      <protection locked="0" hidden="1"/>
    </xf>
    <xf numFmtId="2" fontId="22" fillId="0" borderId="0" xfId="0" applyNumberFormat="1" applyFont="1" applyFill="1" applyAlignment="1" applyProtection="1">
      <alignment horizontal="center"/>
      <protection hidden="1"/>
    </xf>
    <xf numFmtId="164" fontId="23" fillId="2" borderId="7" xfId="0" applyFont="1" applyFill="1" applyBorder="1" applyProtection="1">
      <protection hidden="1"/>
    </xf>
    <xf numFmtId="164" fontId="22" fillId="0" borderId="0" xfId="0" applyFont="1" applyFill="1" applyAlignment="1" applyProtection="1">
      <alignment horizontal="center"/>
      <protection hidden="1"/>
    </xf>
    <xf numFmtId="164" fontId="23" fillId="0" borderId="7" xfId="0" applyFont="1" applyBorder="1" applyProtection="1">
      <protection hidden="1"/>
    </xf>
    <xf numFmtId="165" fontId="22" fillId="0" borderId="0" xfId="0" applyNumberFormat="1" applyFont="1" applyFill="1" applyAlignment="1" applyProtection="1">
      <alignment horizontal="center"/>
      <protection hidden="1"/>
    </xf>
    <xf numFmtId="164" fontId="22" fillId="0" borderId="7" xfId="0" applyFont="1" applyBorder="1" applyProtection="1">
      <protection hidden="1"/>
    </xf>
    <xf numFmtId="44" fontId="21" fillId="0" borderId="0" xfId="1" applyFont="1" applyFill="1" applyAlignment="1" applyProtection="1">
      <alignment horizontal="center"/>
      <protection hidden="1"/>
    </xf>
    <xf numFmtId="169" fontId="22" fillId="0" borderId="0" xfId="0" applyNumberFormat="1" applyFont="1" applyFill="1" applyProtection="1">
      <protection hidden="1"/>
    </xf>
    <xf numFmtId="44" fontId="21" fillId="0" borderId="0" xfId="1" applyFont="1" applyFill="1" applyBorder="1" applyAlignment="1" applyProtection="1">
      <alignment horizontal="center"/>
      <protection hidden="1"/>
    </xf>
    <xf numFmtId="10" fontId="24" fillId="0" borderId="3" xfId="2" applyNumberFormat="1" applyFont="1" applyFill="1" applyBorder="1" applyProtection="1">
      <protection hidden="1"/>
    </xf>
    <xf numFmtId="44" fontId="21" fillId="0" borderId="3" xfId="1" applyFont="1" applyFill="1" applyBorder="1" applyAlignment="1" applyProtection="1">
      <alignment horizontal="center"/>
      <protection hidden="1"/>
    </xf>
    <xf numFmtId="164" fontId="22" fillId="0" borderId="3" xfId="0" applyFont="1" applyFill="1" applyBorder="1" applyAlignment="1" applyProtection="1">
      <alignment horizontal="left"/>
      <protection hidden="1"/>
    </xf>
    <xf numFmtId="2" fontId="21" fillId="0" borderId="3" xfId="0" applyNumberFormat="1" applyFont="1" applyFill="1" applyBorder="1" applyProtection="1">
      <protection hidden="1"/>
    </xf>
    <xf numFmtId="169" fontId="22" fillId="0" borderId="3" xfId="0" applyNumberFormat="1" applyFont="1" applyFill="1" applyBorder="1" applyProtection="1">
      <protection hidden="1"/>
    </xf>
    <xf numFmtId="164" fontId="22" fillId="0" borderId="3" xfId="0" applyFont="1" applyFill="1" applyBorder="1" applyAlignment="1" applyProtection="1">
      <alignment horizontal="center"/>
      <protection hidden="1"/>
    </xf>
    <xf numFmtId="164" fontId="22" fillId="0" borderId="9" xfId="0" applyFont="1" applyBorder="1" applyProtection="1">
      <protection hidden="1"/>
    </xf>
    <xf numFmtId="164" fontId="22" fillId="0" borderId="0" xfId="0" applyFont="1" applyFill="1" applyBorder="1" applyProtection="1">
      <protection hidden="1"/>
    </xf>
    <xf numFmtId="164" fontId="22" fillId="0" borderId="0" xfId="0" applyFont="1" applyFill="1" applyBorder="1" applyAlignment="1" applyProtection="1">
      <alignment horizontal="left"/>
      <protection hidden="1"/>
    </xf>
    <xf numFmtId="7" fontId="22" fillId="0" borderId="0" xfId="0" applyNumberFormat="1" applyFont="1" applyFill="1" applyBorder="1" applyProtection="1">
      <protection hidden="1"/>
    </xf>
    <xf numFmtId="164" fontId="22" fillId="0" borderId="0" xfId="0" applyFont="1" applyBorder="1" applyProtection="1">
      <protection hidden="1"/>
    </xf>
    <xf numFmtId="164" fontId="21" fillId="0" borderId="0" xfId="0" applyFont="1" applyFill="1" applyProtection="1">
      <protection hidden="1"/>
    </xf>
    <xf numFmtId="164" fontId="21" fillId="0" borderId="0" xfId="0" applyFont="1" applyBorder="1" applyProtection="1">
      <protection hidden="1"/>
    </xf>
    <xf numFmtId="164" fontId="21" fillId="0" borderId="0" xfId="0" quotePrefix="1" applyFont="1" applyBorder="1" applyAlignment="1" applyProtection="1">
      <alignment horizontal="left"/>
      <protection hidden="1"/>
    </xf>
    <xf numFmtId="2" fontId="21" fillId="0" borderId="0" xfId="0" applyNumberFormat="1" applyFont="1" applyProtection="1">
      <protection hidden="1"/>
    </xf>
    <xf numFmtId="164" fontId="21" fillId="0" borderId="0" xfId="0" applyFont="1" applyBorder="1" applyAlignment="1" applyProtection="1">
      <alignment horizontal="left"/>
    </xf>
    <xf numFmtId="164" fontId="26" fillId="0" borderId="0" xfId="0" applyFont="1" applyProtection="1">
      <protection hidden="1"/>
    </xf>
    <xf numFmtId="164" fontId="24" fillId="3" borderId="0" xfId="0" applyFont="1" applyFill="1" applyProtection="1">
      <protection locked="0" hidden="1"/>
    </xf>
    <xf numFmtId="164" fontId="21" fillId="0" borderId="0" xfId="0" applyFont="1" applyAlignment="1" applyProtection="1">
      <alignment horizontal="left"/>
      <protection hidden="1"/>
    </xf>
    <xf numFmtId="165" fontId="21" fillId="0" borderId="0" xfId="0" applyNumberFormat="1" applyFont="1" applyProtection="1">
      <protection hidden="1"/>
    </xf>
    <xf numFmtId="164" fontId="27" fillId="0" borderId="0" xfId="0" applyFont="1" applyProtection="1">
      <protection hidden="1"/>
    </xf>
    <xf numFmtId="164" fontId="28" fillId="0" borderId="0" xfId="0" applyFont="1" applyProtection="1">
      <protection hidden="1"/>
    </xf>
    <xf numFmtId="164" fontId="21" fillId="0" borderId="0" xfId="0" quotePrefix="1" applyFont="1" applyAlignment="1" applyProtection="1">
      <alignment horizontal="left"/>
      <protection hidden="1"/>
    </xf>
    <xf numFmtId="164" fontId="21" fillId="0" borderId="10" xfId="0" applyFont="1" applyFill="1" applyBorder="1" applyProtection="1">
      <protection hidden="1"/>
    </xf>
    <xf numFmtId="164" fontId="21" fillId="0" borderId="8" xfId="0" applyFont="1" applyFill="1" applyBorder="1" applyProtection="1">
      <protection hidden="1"/>
    </xf>
    <xf numFmtId="164" fontId="29" fillId="0" borderId="0" xfId="0" applyFont="1"/>
    <xf numFmtId="164" fontId="29" fillId="0" borderId="0" xfId="0" applyFont="1" applyFill="1"/>
    <xf numFmtId="164" fontId="31" fillId="0" borderId="0" xfId="0" applyFont="1" applyProtection="1">
      <protection locked="0" hidden="1"/>
    </xf>
    <xf numFmtId="164" fontId="32" fillId="0" borderId="0" xfId="0" applyFont="1" applyProtection="1">
      <protection hidden="1"/>
    </xf>
    <xf numFmtId="164" fontId="32" fillId="0" borderId="0" xfId="0" applyFont="1"/>
    <xf numFmtId="164" fontId="30" fillId="0" borderId="0" xfId="0" applyFont="1" applyProtection="1">
      <protection hidden="1"/>
    </xf>
    <xf numFmtId="164" fontId="30" fillId="0" borderId="0" xfId="0" applyFont="1" applyAlignment="1" applyProtection="1">
      <alignment horizontal="center"/>
      <protection hidden="1"/>
    </xf>
    <xf numFmtId="164" fontId="30" fillId="0" borderId="0" xfId="0" applyFont="1" applyBorder="1" applyAlignment="1" applyProtection="1">
      <alignment horizontal="center"/>
      <protection hidden="1"/>
    </xf>
    <xf numFmtId="164" fontId="32" fillId="0" borderId="0" xfId="0" applyFont="1" applyBorder="1" applyProtection="1">
      <protection hidden="1"/>
    </xf>
    <xf numFmtId="165" fontId="30" fillId="0" borderId="0" xfId="0" applyNumberFormat="1" applyFont="1" applyProtection="1">
      <protection hidden="1"/>
    </xf>
    <xf numFmtId="164" fontId="24" fillId="0" borderId="0" xfId="0" applyFont="1" applyProtection="1">
      <protection hidden="1"/>
    </xf>
    <xf numFmtId="164" fontId="24" fillId="0" borderId="0" xfId="0" applyFont="1" applyAlignment="1" applyProtection="1">
      <alignment horizontal="left"/>
      <protection hidden="1"/>
    </xf>
    <xf numFmtId="164" fontId="37" fillId="0" borderId="0" xfId="0" applyFont="1" applyProtection="1">
      <protection hidden="1"/>
    </xf>
    <xf numFmtId="164" fontId="34" fillId="0" borderId="0" xfId="0" applyFont="1"/>
    <xf numFmtId="164" fontId="25" fillId="0" borderId="0" xfId="0" quotePrefix="1" applyFont="1" applyAlignment="1" applyProtection="1">
      <alignment horizontal="left"/>
      <protection hidden="1"/>
    </xf>
    <xf numFmtId="164" fontId="34" fillId="0" borderId="0" xfId="0" applyFont="1" applyProtection="1">
      <protection hidden="1"/>
    </xf>
    <xf numFmtId="164" fontId="21" fillId="0" borderId="0" xfId="0" applyFont="1" applyAlignment="1" applyProtection="1">
      <alignment horizontal="right"/>
      <protection hidden="1"/>
    </xf>
    <xf numFmtId="164" fontId="21" fillId="0" borderId="3" xfId="0" applyFont="1" applyBorder="1" applyAlignment="1" applyProtection="1">
      <alignment horizontal="center"/>
      <protection hidden="1"/>
    </xf>
    <xf numFmtId="164" fontId="21" fillId="0" borderId="11" xfId="0" applyFont="1" applyFill="1" applyBorder="1" applyProtection="1">
      <protection hidden="1"/>
    </xf>
    <xf numFmtId="168" fontId="21" fillId="0" borderId="0" xfId="0" applyNumberFormat="1" applyFont="1" applyProtection="1"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2" fontId="21" fillId="0" borderId="12" xfId="0" applyNumberFormat="1" applyFont="1" applyBorder="1" applyAlignment="1" applyProtection="1">
      <alignment horizontal="center"/>
      <protection hidden="1"/>
    </xf>
    <xf numFmtId="164" fontId="21" fillId="0" borderId="13" xfId="0" applyFont="1" applyFill="1" applyBorder="1" applyProtection="1">
      <protection hidden="1"/>
    </xf>
    <xf numFmtId="2" fontId="21" fillId="0" borderId="7" xfId="0" applyNumberFormat="1" applyFont="1" applyBorder="1" applyAlignment="1" applyProtection="1">
      <alignment horizontal="center"/>
      <protection hidden="1"/>
    </xf>
    <xf numFmtId="164" fontId="21" fillId="0" borderId="14" xfId="0" applyFont="1" applyFill="1" applyBorder="1" applyProtection="1">
      <protection hidden="1"/>
    </xf>
    <xf numFmtId="164" fontId="21" fillId="0" borderId="3" xfId="0" applyFont="1" applyBorder="1" applyProtection="1">
      <protection hidden="1"/>
    </xf>
    <xf numFmtId="168" fontId="21" fillId="0" borderId="3" xfId="0" applyNumberFormat="1" applyFont="1" applyBorder="1" applyProtection="1">
      <protection hidden="1"/>
    </xf>
    <xf numFmtId="2" fontId="21" fillId="0" borderId="3" xfId="0" applyNumberFormat="1" applyFont="1" applyBorder="1" applyAlignment="1" applyProtection="1">
      <alignment horizontal="center"/>
      <protection hidden="1"/>
    </xf>
    <xf numFmtId="2" fontId="21" fillId="0" borderId="9" xfId="0" applyNumberFormat="1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1" fillId="0" borderId="0" xfId="0" applyFont="1" applyFill="1" applyAlignment="1" applyProtection="1">
      <alignment horizontal="left"/>
      <protection hidden="1"/>
    </xf>
    <xf numFmtId="164" fontId="21" fillId="0" borderId="0" xfId="0" applyFont="1" applyFill="1" applyAlignment="1" applyProtection="1">
      <alignment horizontal="right"/>
      <protection hidden="1"/>
    </xf>
    <xf numFmtId="164" fontId="35" fillId="0" borderId="2" xfId="0" applyFont="1" applyBorder="1" applyAlignment="1" applyProtection="1">
      <alignment horizontal="center" wrapText="1"/>
      <protection hidden="1"/>
    </xf>
    <xf numFmtId="164" fontId="21" fillId="0" borderId="0" xfId="0" applyFont="1" applyBorder="1" applyAlignment="1" applyProtection="1">
      <alignment horizontal="center"/>
      <protection hidden="1"/>
    </xf>
    <xf numFmtId="165" fontId="21" fillId="0" borderId="0" xfId="0" applyNumberFormat="1" applyFont="1" applyBorder="1" applyAlignment="1" applyProtection="1">
      <alignment horizontal="center"/>
      <protection hidden="1"/>
    </xf>
    <xf numFmtId="164" fontId="35" fillId="0" borderId="0" xfId="0" applyFont="1" applyBorder="1" applyAlignment="1" applyProtection="1">
      <alignment horizontal="center"/>
      <protection hidden="1"/>
    </xf>
    <xf numFmtId="164" fontId="21" fillId="0" borderId="2" xfId="0" applyFont="1" applyBorder="1" applyAlignment="1" applyProtection="1">
      <alignment horizontal="center"/>
      <protection hidden="1"/>
    </xf>
    <xf numFmtId="164" fontId="21" fillId="0" borderId="6" xfId="0" applyFont="1" applyFill="1" applyBorder="1" applyProtection="1">
      <protection hidden="1"/>
    </xf>
    <xf numFmtId="165" fontId="35" fillId="0" borderId="0" xfId="0" applyNumberFormat="1" applyFont="1" applyFill="1" applyBorder="1" applyProtection="1">
      <protection hidden="1"/>
    </xf>
    <xf numFmtId="165" fontId="21" fillId="0" borderId="15" xfId="0" applyNumberFormat="1" applyFont="1" applyBorder="1" applyProtection="1">
      <protection hidden="1"/>
    </xf>
    <xf numFmtId="1" fontId="21" fillId="0" borderId="15" xfId="0" applyNumberFormat="1" applyFont="1" applyBorder="1" applyProtection="1">
      <protection hidden="1"/>
    </xf>
    <xf numFmtId="169" fontId="21" fillId="0" borderId="0" xfId="0" applyNumberFormat="1" applyFont="1" applyBorder="1" applyProtection="1">
      <protection hidden="1"/>
    </xf>
    <xf numFmtId="169" fontId="21" fillId="0" borderId="7" xfId="0" applyNumberFormat="1" applyFont="1" applyBorder="1" applyProtection="1">
      <protection hidden="1"/>
    </xf>
    <xf numFmtId="170" fontId="21" fillId="0" borderId="0" xfId="0" applyNumberFormat="1" applyFont="1" applyBorder="1" applyProtection="1">
      <protection hidden="1"/>
    </xf>
    <xf numFmtId="165" fontId="21" fillId="0" borderId="0" xfId="0" applyNumberFormat="1" applyFont="1" applyFill="1" applyBorder="1" applyProtection="1">
      <protection hidden="1"/>
    </xf>
    <xf numFmtId="166" fontId="21" fillId="0" borderId="0" xfId="0" applyNumberFormat="1" applyFont="1" applyFill="1" applyBorder="1" applyProtection="1">
      <protection hidden="1"/>
    </xf>
    <xf numFmtId="165" fontId="21" fillId="0" borderId="0" xfId="0" applyNumberFormat="1" applyFont="1" applyBorder="1" applyProtection="1">
      <protection hidden="1"/>
    </xf>
    <xf numFmtId="1" fontId="21" fillId="0" borderId="0" xfId="0" applyNumberFormat="1" applyFont="1" applyBorder="1" applyProtection="1">
      <protection hidden="1"/>
    </xf>
    <xf numFmtId="164" fontId="21" fillId="0" borderId="0" xfId="0" applyNumberFormat="1" applyFont="1" applyBorder="1" applyProtection="1">
      <protection hidden="1"/>
    </xf>
    <xf numFmtId="166" fontId="21" fillId="0" borderId="0" xfId="0" applyNumberFormat="1" applyFont="1" applyBorder="1" applyProtection="1">
      <protection hidden="1"/>
    </xf>
    <xf numFmtId="164" fontId="21" fillId="0" borderId="16" xfId="0" applyFont="1" applyFill="1" applyBorder="1" applyProtection="1">
      <protection hidden="1"/>
    </xf>
    <xf numFmtId="170" fontId="21" fillId="0" borderId="2" xfId="0" applyNumberFormat="1" applyFont="1" applyBorder="1" applyProtection="1">
      <protection hidden="1"/>
    </xf>
    <xf numFmtId="165" fontId="35" fillId="0" borderId="2" xfId="0" applyNumberFormat="1" applyFont="1" applyFill="1" applyBorder="1" applyProtection="1">
      <protection hidden="1"/>
    </xf>
    <xf numFmtId="165" fontId="21" fillId="0" borderId="2" xfId="0" applyNumberFormat="1" applyFont="1" applyFill="1" applyBorder="1" applyProtection="1">
      <protection hidden="1"/>
    </xf>
    <xf numFmtId="166" fontId="21" fillId="0" borderId="2" xfId="0" applyNumberFormat="1" applyFont="1" applyFill="1" applyBorder="1" applyProtection="1">
      <protection hidden="1"/>
    </xf>
    <xf numFmtId="165" fontId="21" fillId="0" borderId="2" xfId="0" applyNumberFormat="1" applyFont="1" applyBorder="1" applyProtection="1">
      <protection hidden="1"/>
    </xf>
    <xf numFmtId="1" fontId="21" fillId="0" borderId="2" xfId="0" applyNumberFormat="1" applyFont="1" applyBorder="1" applyProtection="1">
      <protection hidden="1"/>
    </xf>
    <xf numFmtId="164" fontId="21" fillId="0" borderId="2" xfId="0" applyNumberFormat="1" applyFont="1" applyBorder="1" applyProtection="1">
      <protection hidden="1"/>
    </xf>
    <xf numFmtId="166" fontId="21" fillId="0" borderId="2" xfId="0" applyNumberFormat="1" applyFont="1" applyBorder="1" applyProtection="1">
      <protection hidden="1"/>
    </xf>
    <xf numFmtId="169" fontId="21" fillId="0" borderId="2" xfId="0" applyNumberFormat="1" applyFont="1" applyBorder="1" applyProtection="1">
      <protection hidden="1"/>
    </xf>
    <xf numFmtId="169" fontId="21" fillId="0" borderId="17" xfId="0" applyNumberFormat="1" applyFont="1" applyBorder="1" applyProtection="1">
      <protection hidden="1"/>
    </xf>
    <xf numFmtId="165" fontId="35" fillId="0" borderId="0" xfId="0" applyNumberFormat="1" applyFont="1" applyFill="1" applyProtection="1">
      <protection hidden="1"/>
    </xf>
    <xf numFmtId="165" fontId="21" fillId="0" borderId="0" xfId="0" applyNumberFormat="1" applyFont="1" applyFill="1" applyProtection="1">
      <protection hidden="1"/>
    </xf>
    <xf numFmtId="167" fontId="21" fillId="0" borderId="0" xfId="0" applyNumberFormat="1" applyFont="1" applyProtection="1">
      <protection hidden="1"/>
    </xf>
    <xf numFmtId="166" fontId="21" fillId="0" borderId="0" xfId="0" applyNumberFormat="1" applyFont="1" applyProtection="1">
      <protection hidden="1"/>
    </xf>
    <xf numFmtId="1" fontId="21" fillId="0" borderId="0" xfId="0" applyNumberFormat="1" applyFont="1" applyProtection="1">
      <protection hidden="1"/>
    </xf>
    <xf numFmtId="165" fontId="33" fillId="0" borderId="0" xfId="0" applyNumberFormat="1" applyFont="1" applyBorder="1" applyAlignment="1" applyProtection="1">
      <alignment horizontal="left"/>
      <protection hidden="1"/>
    </xf>
    <xf numFmtId="164" fontId="33" fillId="0" borderId="0" xfId="0" applyFont="1" applyBorder="1" applyProtection="1">
      <protection hidden="1"/>
    </xf>
    <xf numFmtId="165" fontId="33" fillId="0" borderId="0" xfId="0" applyNumberFormat="1" applyFont="1" applyBorder="1" applyProtection="1">
      <protection hidden="1"/>
    </xf>
    <xf numFmtId="169" fontId="21" fillId="0" borderId="0" xfId="0" applyNumberFormat="1" applyFont="1" applyProtection="1">
      <protection hidden="1"/>
    </xf>
    <xf numFmtId="164" fontId="21" fillId="0" borderId="2" xfId="0" quotePrefix="1" applyFont="1" applyBorder="1" applyAlignment="1" applyProtection="1">
      <alignment horizontal="center"/>
      <protection hidden="1"/>
    </xf>
    <xf numFmtId="164" fontId="21" fillId="0" borderId="2" xfId="0" applyFont="1" applyBorder="1" applyProtection="1"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69" fontId="21" fillId="0" borderId="2" xfId="0" applyNumberFormat="1" applyFont="1" applyBorder="1" applyAlignment="1" applyProtection="1">
      <alignment horizontal="center"/>
      <protection hidden="1"/>
    </xf>
    <xf numFmtId="165" fontId="35" fillId="0" borderId="0" xfId="0" applyNumberFormat="1" applyFont="1" applyBorder="1" applyProtection="1">
      <protection hidden="1"/>
    </xf>
    <xf numFmtId="168" fontId="21" fillId="0" borderId="0" xfId="0" applyNumberFormat="1" applyFont="1" applyBorder="1" applyProtection="1">
      <protection hidden="1"/>
    </xf>
    <xf numFmtId="2" fontId="21" fillId="0" borderId="0" xfId="0" applyNumberFormat="1" applyFont="1" applyBorder="1" applyProtection="1">
      <protection hidden="1"/>
    </xf>
    <xf numFmtId="2" fontId="21" fillId="0" borderId="2" xfId="0" applyNumberFormat="1" applyFont="1" applyBorder="1" applyProtection="1">
      <protection hidden="1"/>
    </xf>
    <xf numFmtId="165" fontId="35" fillId="0" borderId="2" xfId="0" applyNumberFormat="1" applyFont="1" applyBorder="1" applyProtection="1">
      <protection hidden="1"/>
    </xf>
    <xf numFmtId="168" fontId="21" fillId="0" borderId="2" xfId="0" applyNumberFormat="1" applyFont="1" applyBorder="1" applyProtection="1">
      <protection hidden="1"/>
    </xf>
    <xf numFmtId="165" fontId="35" fillId="0" borderId="0" xfId="0" applyNumberFormat="1" applyFont="1" applyProtection="1">
      <protection hidden="1"/>
    </xf>
    <xf numFmtId="164" fontId="36" fillId="0" borderId="0" xfId="0" applyFont="1" applyFill="1" applyProtection="1">
      <protection hidden="1"/>
    </xf>
    <xf numFmtId="10" fontId="21" fillId="0" borderId="0" xfId="2" applyNumberFormat="1" applyFont="1" applyProtection="1">
      <protection hidden="1"/>
    </xf>
    <xf numFmtId="164" fontId="38" fillId="0" borderId="0" xfId="0" applyFont="1" applyAlignment="1" applyProtection="1">
      <alignment horizontal="left"/>
      <protection hidden="1"/>
    </xf>
    <xf numFmtId="164" fontId="39" fillId="0" borderId="0" xfId="0" applyFont="1" applyFill="1" applyProtection="1">
      <protection hidden="1"/>
    </xf>
    <xf numFmtId="164" fontId="22" fillId="0" borderId="0" xfId="0" applyFont="1" applyAlignment="1" applyProtection="1">
      <alignment horizontal="left"/>
    </xf>
    <xf numFmtId="164" fontId="22" fillId="0" borderId="0" xfId="0" applyFont="1" applyAlignment="1" applyProtection="1">
      <alignment horizontal="center" wrapText="1"/>
    </xf>
    <xf numFmtId="164" fontId="22" fillId="0" borderId="0" xfId="0" applyFont="1" applyAlignment="1" applyProtection="1">
      <alignment horizontal="center"/>
    </xf>
    <xf numFmtId="164" fontId="21" fillId="0" borderId="0" xfId="0" applyFont="1" applyProtection="1"/>
    <xf numFmtId="164" fontId="24" fillId="0" borderId="0" xfId="0" applyFont="1" applyProtection="1">
      <protection locked="0"/>
    </xf>
    <xf numFmtId="164" fontId="26" fillId="0" borderId="0" xfId="0" applyFont="1"/>
    <xf numFmtId="4" fontId="25" fillId="0" borderId="0" xfId="0" applyNumberFormat="1" applyFont="1" applyProtection="1"/>
    <xf numFmtId="164" fontId="40" fillId="0" borderId="0" xfId="0" applyFont="1" applyProtection="1">
      <protection hidden="1"/>
    </xf>
    <xf numFmtId="9" fontId="22" fillId="0" borderId="0" xfId="2" applyFont="1" applyFill="1" applyBorder="1" applyProtection="1">
      <protection hidden="1"/>
    </xf>
    <xf numFmtId="44" fontId="22" fillId="0" borderId="0" xfId="1" applyFont="1" applyFill="1" applyProtection="1">
      <protection hidden="1"/>
    </xf>
    <xf numFmtId="164" fontId="24" fillId="3" borderId="18" xfId="0" applyFont="1" applyFill="1" applyBorder="1" applyProtection="1">
      <protection locked="0" hidden="1"/>
    </xf>
    <xf numFmtId="164" fontId="21" fillId="0" borderId="18" xfId="0" applyFont="1" applyFill="1" applyBorder="1" applyProtection="1">
      <protection hidden="1"/>
    </xf>
    <xf numFmtId="164" fontId="29" fillId="0" borderId="0" xfId="0" applyFont="1" applyProtection="1">
      <protection locked="0"/>
    </xf>
    <xf numFmtId="164" fontId="29" fillId="0" borderId="0" xfId="0" applyFont="1" applyFill="1" applyProtection="1">
      <protection locked="0"/>
    </xf>
    <xf numFmtId="164" fontId="1" fillId="0" borderId="0" xfId="0" applyFont="1" applyBorder="1" applyProtection="1">
      <protection hidden="1"/>
    </xf>
    <xf numFmtId="164" fontId="21" fillId="0" borderId="2" xfId="0" applyFont="1" applyBorder="1" applyAlignment="1" applyProtection="1">
      <alignment horizontal="center" wrapText="1"/>
      <protection hidden="1"/>
    </xf>
    <xf numFmtId="165" fontId="21" fillId="0" borderId="2" xfId="0" applyNumberFormat="1" applyFont="1" applyBorder="1" applyAlignment="1" applyProtection="1">
      <alignment horizontal="center"/>
      <protection hidden="1"/>
    </xf>
    <xf numFmtId="164" fontId="35" fillId="0" borderId="2" xfId="0" applyFont="1" applyBorder="1" applyAlignment="1" applyProtection="1">
      <alignment horizontal="center"/>
      <protection hidden="1"/>
    </xf>
    <xf numFmtId="164" fontId="21" fillId="0" borderId="2" xfId="0" applyNumberFormat="1" applyFont="1" applyBorder="1" applyAlignment="1" applyProtection="1">
      <alignment horizontal="center"/>
      <protection hidden="1"/>
    </xf>
    <xf numFmtId="164" fontId="21" fillId="0" borderId="19" xfId="0" applyFont="1" applyFill="1" applyBorder="1" applyProtection="1">
      <protection hidden="1"/>
    </xf>
    <xf numFmtId="165" fontId="22" fillId="0" borderId="0" xfId="0" applyNumberFormat="1" applyFont="1" applyAlignment="1" applyProtection="1">
      <alignment horizontal="center" wrapText="1"/>
    </xf>
    <xf numFmtId="164" fontId="22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0" fontId="42" fillId="0" borderId="0" xfId="3" applyFont="1"/>
    <xf numFmtId="0" fontId="42" fillId="0" borderId="0" xfId="3" applyFont="1" applyAlignment="1">
      <alignment horizontal="center" wrapText="1"/>
    </xf>
    <xf numFmtId="0" fontId="41" fillId="0" borderId="0" xfId="3" applyFont="1"/>
    <xf numFmtId="0" fontId="41" fillId="0" borderId="0" xfId="3" applyFont="1" applyProtection="1"/>
    <xf numFmtId="0" fontId="41" fillId="0" borderId="0" xfId="3" applyFont="1" applyAlignment="1" applyProtection="1">
      <alignment horizontal="left"/>
      <protection locked="0"/>
    </xf>
    <xf numFmtId="0" fontId="41" fillId="0" borderId="0" xfId="3" applyFont="1" applyProtection="1">
      <protection locked="0"/>
    </xf>
    <xf numFmtId="0" fontId="42" fillId="0" borderId="0" xfId="3" applyFont="1" applyProtection="1"/>
    <xf numFmtId="0" fontId="41" fillId="0" borderId="0" xfId="3" quotePrefix="1" applyFont="1" applyAlignment="1" applyProtection="1">
      <alignment horizontal="left"/>
      <protection locked="0"/>
    </xf>
    <xf numFmtId="2" fontId="41" fillId="0" borderId="0" xfId="3" applyNumberFormat="1" applyFont="1" applyAlignment="1" applyProtection="1">
      <alignment horizontal="center"/>
      <protection locked="0"/>
    </xf>
    <xf numFmtId="0" fontId="42" fillId="0" borderId="0" xfId="3" applyFont="1" applyAlignment="1">
      <alignment horizontal="left"/>
    </xf>
    <xf numFmtId="164" fontId="22" fillId="0" borderId="0" xfId="0" applyFont="1" applyBorder="1" applyAlignment="1" applyProtection="1">
      <alignment horizontal="left"/>
      <protection hidden="1"/>
    </xf>
    <xf numFmtId="169" fontId="44" fillId="0" borderId="0" xfId="0" applyNumberFormat="1" applyFont="1" applyProtection="1">
      <protection hidden="1"/>
    </xf>
    <xf numFmtId="164" fontId="2" fillId="0" borderId="0" xfId="0" applyFont="1" applyProtection="1"/>
    <xf numFmtId="164" fontId="0" fillId="0" borderId="0" xfId="0" applyProtection="1"/>
    <xf numFmtId="164" fontId="12" fillId="0" borderId="0" xfId="0" applyFont="1" applyProtection="1"/>
    <xf numFmtId="164" fontId="21" fillId="0" borderId="0" xfId="0" applyFont="1" applyBorder="1" applyProtection="1"/>
    <xf numFmtId="164" fontId="1" fillId="0" borderId="0" xfId="0" applyFont="1" applyBorder="1" applyProtection="1"/>
    <xf numFmtId="164" fontId="0" fillId="0" borderId="0" xfId="0" applyBorder="1" applyProtection="1"/>
    <xf numFmtId="164" fontId="5" fillId="2" borderId="0" xfId="0" applyFont="1" applyFill="1" applyBorder="1" applyProtection="1"/>
    <xf numFmtId="164" fontId="10" fillId="0" borderId="0" xfId="0" applyFont="1" applyBorder="1" applyProtection="1"/>
    <xf numFmtId="164" fontId="4" fillId="0" borderId="0" xfId="0" applyFont="1" applyBorder="1" applyProtection="1"/>
    <xf numFmtId="164" fontId="43" fillId="0" borderId="0" xfId="0" applyFont="1" applyProtection="1"/>
    <xf numFmtId="2" fontId="43" fillId="0" borderId="0" xfId="0" applyNumberFormat="1" applyFont="1" applyProtection="1"/>
    <xf numFmtId="2" fontId="21" fillId="0" borderId="0" xfId="0" applyNumberFormat="1" applyFont="1" applyProtection="1"/>
    <xf numFmtId="164" fontId="8" fillId="0" borderId="0" xfId="0" applyFont="1" applyProtection="1"/>
    <xf numFmtId="39" fontId="41" fillId="0" borderId="0" xfId="1" applyNumberFormat="1" applyFont="1" applyAlignment="1" applyProtection="1">
      <alignment horizontal="center" wrapText="1"/>
      <protection locked="0"/>
    </xf>
    <xf numFmtId="39" fontId="41" fillId="0" borderId="0" xfId="1" applyNumberFormat="1" applyFont="1" applyProtection="1">
      <protection locked="0"/>
    </xf>
    <xf numFmtId="39" fontId="41" fillId="0" borderId="0" xfId="1" applyNumberFormat="1" applyFont="1" applyFill="1" applyProtection="1">
      <protection locked="0"/>
    </xf>
    <xf numFmtId="39" fontId="29" fillId="0" borderId="0" xfId="1" applyNumberFormat="1" applyFont="1" applyFill="1" applyProtection="1">
      <protection locked="0"/>
    </xf>
    <xf numFmtId="0" fontId="41" fillId="0" borderId="0" xfId="3" applyFont="1" applyAlignment="1" applyProtection="1">
      <alignment horizontal="center" wrapText="1"/>
      <protection locked="0"/>
    </xf>
    <xf numFmtId="2" fontId="41" fillId="0" borderId="0" xfId="3" applyNumberFormat="1" applyFont="1" applyAlignment="1" applyProtection="1">
      <alignment horizontal="center" wrapText="1"/>
      <protection locked="0"/>
    </xf>
    <xf numFmtId="164" fontId="0" fillId="0" borderId="0" xfId="0" applyProtection="1">
      <protection locked="0"/>
    </xf>
    <xf numFmtId="0" fontId="41" fillId="0" borderId="0" xfId="3" applyProtection="1">
      <protection locked="0"/>
    </xf>
    <xf numFmtId="0" fontId="41" fillId="0" borderId="0" xfId="3" applyFont="1" applyFill="1" applyProtection="1">
      <protection locked="0"/>
    </xf>
    <xf numFmtId="2" fontId="42" fillId="0" borderId="0" xfId="3" applyNumberFormat="1" applyFont="1" applyAlignment="1" applyProtection="1">
      <alignment horizontal="center"/>
      <protection locked="0"/>
    </xf>
    <xf numFmtId="164" fontId="26" fillId="0" borderId="0" xfId="0" applyFont="1" applyProtection="1"/>
    <xf numFmtId="2" fontId="41" fillId="0" borderId="0" xfId="3" applyNumberFormat="1" applyFont="1" applyAlignment="1" applyProtection="1">
      <alignment horizontal="center" wrapText="1"/>
    </xf>
    <xf numFmtId="164" fontId="29" fillId="0" borderId="0" xfId="0" applyFont="1" applyProtection="1"/>
    <xf numFmtId="169" fontId="24" fillId="3" borderId="0" xfId="0" applyNumberFormat="1" applyFont="1" applyFill="1" applyProtection="1">
      <protection locked="0" hidden="1"/>
    </xf>
    <xf numFmtId="164" fontId="46" fillId="0" borderId="0" xfId="0" applyFont="1" applyProtection="1">
      <protection hidden="1"/>
    </xf>
    <xf numFmtId="164" fontId="45" fillId="0" borderId="0" xfId="0" applyFont="1" applyProtection="1">
      <protection hidden="1"/>
    </xf>
    <xf numFmtId="164" fontId="47" fillId="0" borderId="0" xfId="0" applyFont="1" applyFill="1" applyProtection="1">
      <protection hidden="1"/>
    </xf>
    <xf numFmtId="164" fontId="36" fillId="4" borderId="0" xfId="0" applyFont="1" applyFill="1" applyProtection="1">
      <protection hidden="1"/>
    </xf>
    <xf numFmtId="164" fontId="36" fillId="4" borderId="0" xfId="0" applyFont="1" applyFill="1" applyAlignment="1" applyProtection="1">
      <alignment horizontal="left"/>
      <protection hidden="1"/>
    </xf>
    <xf numFmtId="164" fontId="26" fillId="4" borderId="0" xfId="0" applyFont="1" applyFill="1" applyProtection="1">
      <protection hidden="1"/>
    </xf>
    <xf numFmtId="164" fontId="21" fillId="4" borderId="0" xfId="0" applyFont="1" applyFill="1" applyProtection="1">
      <protection hidden="1"/>
    </xf>
    <xf numFmtId="164" fontId="48" fillId="0" borderId="0" xfId="0" applyFont="1" applyAlignment="1" applyProtection="1">
      <alignment horizontal="left"/>
      <protection hidden="1"/>
    </xf>
    <xf numFmtId="164" fontId="49" fillId="0" borderId="0" xfId="0" applyFont="1" applyProtection="1">
      <protection hidden="1"/>
    </xf>
    <xf numFmtId="165" fontId="24" fillId="3" borderId="0" xfId="0" applyNumberFormat="1" applyFont="1" applyFill="1" applyProtection="1">
      <protection locked="0"/>
    </xf>
    <xf numFmtId="165" fontId="24" fillId="3" borderId="0" xfId="0" applyNumberFormat="1" applyFont="1" applyFill="1" applyProtection="1">
      <protection locked="0" hidden="1"/>
    </xf>
    <xf numFmtId="165" fontId="24" fillId="3" borderId="0" xfId="0" applyNumberFormat="1" applyFont="1" applyFill="1" applyBorder="1" applyProtection="1">
      <protection locked="0" hidden="1"/>
    </xf>
    <xf numFmtId="165" fontId="24" fillId="3" borderId="3" xfId="0" applyNumberFormat="1" applyFont="1" applyFill="1" applyBorder="1" applyProtection="1">
      <protection locked="0" hidden="1"/>
    </xf>
    <xf numFmtId="165" fontId="22" fillId="0" borderId="0" xfId="0" applyNumberFormat="1" applyFont="1" applyFill="1" applyBorder="1" applyProtection="1">
      <protection hidden="1"/>
    </xf>
    <xf numFmtId="164" fontId="36" fillId="0" borderId="0" xfId="0" applyFont="1" applyProtection="1"/>
    <xf numFmtId="164" fontId="14" fillId="0" borderId="0" xfId="0" quotePrefix="1" applyFont="1" applyAlignment="1" applyProtection="1">
      <alignment horizontal="center"/>
      <protection hidden="1"/>
    </xf>
    <xf numFmtId="164" fontId="15" fillId="0" borderId="0" xfId="0" applyFont="1" applyAlignment="1" applyProtection="1">
      <alignment horizontal="center"/>
    </xf>
    <xf numFmtId="164" fontId="20" fillId="3" borderId="0" xfId="0" applyFont="1" applyFill="1" applyAlignment="1" applyProtection="1">
      <alignment horizontal="left"/>
      <protection locked="0" hidden="1"/>
    </xf>
    <xf numFmtId="164" fontId="0" fillId="0" borderId="0" xfId="0" applyAlignment="1" applyProtection="1">
      <alignment horizontal="left"/>
      <protection locked="0" hidden="1"/>
    </xf>
    <xf numFmtId="164" fontId="24" fillId="3" borderId="0" xfId="0" applyFont="1" applyFill="1" applyAlignment="1" applyProtection="1">
      <alignment horizontal="left"/>
      <protection locked="0" hidden="1"/>
    </xf>
    <xf numFmtId="164" fontId="34" fillId="0" borderId="0" xfId="0" applyFont="1" applyAlignment="1" applyProtection="1">
      <protection locked="0" hidden="1"/>
    </xf>
    <xf numFmtId="164" fontId="16" fillId="0" borderId="0" xfId="0" quotePrefix="1" applyFont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wrapText="1"/>
      <protection hidden="1"/>
    </xf>
    <xf numFmtId="164" fontId="21" fillId="0" borderId="3" xfId="0" applyFont="1" applyBorder="1" applyAlignment="1" applyProtection="1">
      <alignment horizontal="center"/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left"/>
      <protection hidden="1"/>
    </xf>
    <xf numFmtId="164" fontId="0" fillId="0" borderId="0" xfId="0" applyAlignment="1">
      <alignment horizontal="left"/>
    </xf>
    <xf numFmtId="164" fontId="22" fillId="0" borderId="0" xfId="0" applyFont="1" applyBorder="1" applyAlignment="1" applyProtection="1">
      <alignment horizontal="left"/>
      <protection hidden="1"/>
    </xf>
  </cellXfs>
  <cellStyles count="7">
    <cellStyle name="Currency" xfId="1" builtinId="4"/>
    <cellStyle name="Currency 2" xfId="6"/>
    <cellStyle name="Currency 3" xfId="4"/>
    <cellStyle name="Normal" xfId="0" builtinId="0"/>
    <cellStyle name="Normal 2" xfId="5"/>
    <cellStyle name="Normal 3" xfId="3"/>
    <cellStyle name="Percent" xfId="2" builtinId="5"/>
  </cellStyles>
  <dxfs count="29">
    <dxf>
      <font>
        <condense val="0"/>
        <extend val="0"/>
        <color indexed="10"/>
      </font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fitToPage="1"/>
  </sheetPr>
  <dimension ref="A1:DN65535"/>
  <sheetViews>
    <sheetView showGridLines="0" showZeros="0" tabSelected="1" zoomScale="90" zoomScaleNormal="90" workbookViewId="0">
      <selection activeCell="E34" sqref="E34"/>
    </sheetView>
  </sheetViews>
  <sheetFormatPr defaultColWidth="9.6640625" defaultRowHeight="12" x14ac:dyDescent="0.2"/>
  <cols>
    <col min="1" max="1" width="27" style="212" customWidth="1"/>
    <col min="2" max="2" width="6" style="212" customWidth="1"/>
    <col min="3" max="3" width="27" style="212" customWidth="1"/>
    <col min="4" max="4" width="10" style="212" customWidth="1"/>
    <col min="5" max="5" width="9" style="212" customWidth="1"/>
    <col min="6" max="6" width="13.88671875" style="212" customWidth="1"/>
    <col min="7" max="7" width="20.109375" style="212" customWidth="1"/>
    <col min="8" max="8" width="9.21875" style="212" customWidth="1"/>
    <col min="9" max="9" width="8.33203125" style="212" customWidth="1"/>
    <col min="10" max="10" width="11.33203125" style="212" customWidth="1"/>
    <col min="11" max="11" width="14.88671875" style="212" customWidth="1"/>
    <col min="12" max="12" width="13.77734375" style="212" hidden="1" customWidth="1"/>
    <col min="13" max="13" width="6" style="212" hidden="1" customWidth="1"/>
    <col min="14" max="14" width="12.6640625" style="212" hidden="1" customWidth="1"/>
    <col min="15" max="15" width="11.44140625" style="212" hidden="1" customWidth="1"/>
    <col min="16" max="17" width="6.6640625" style="212" hidden="1" customWidth="1"/>
    <col min="18" max="18" width="5.88671875" style="212" hidden="1" customWidth="1"/>
    <col min="19" max="19" width="5.21875" style="212" hidden="1" customWidth="1"/>
    <col min="20" max="20" width="5" style="212" hidden="1" customWidth="1"/>
    <col min="21" max="21" width="4.33203125" style="212" hidden="1" customWidth="1"/>
    <col min="22" max="22" width="5.21875" style="212" hidden="1" customWidth="1"/>
    <col min="23" max="23" width="4.77734375" style="212" hidden="1" customWidth="1"/>
    <col min="24" max="24" width="5.88671875" style="212" hidden="1" customWidth="1"/>
    <col min="25" max="25" width="5.21875" style="212" hidden="1" customWidth="1"/>
    <col min="26" max="26" width="5" style="212" hidden="1" customWidth="1"/>
    <col min="27" max="27" width="6.21875" style="212" hidden="1" customWidth="1"/>
    <col min="28" max="28" width="5.21875" style="212" hidden="1" customWidth="1"/>
    <col min="29" max="29" width="5.44140625" style="212" hidden="1" customWidth="1"/>
    <col min="30" max="30" width="5.88671875" style="212" hidden="1" customWidth="1"/>
    <col min="31" max="31" width="5.6640625" style="212" hidden="1" customWidth="1"/>
    <col min="32" max="32" width="5.44140625" style="212" hidden="1" customWidth="1"/>
    <col min="33" max="33" width="5.88671875" style="212" hidden="1" customWidth="1"/>
    <col min="34" max="34" width="5.33203125" style="212" hidden="1" customWidth="1"/>
    <col min="35" max="35" width="5.109375" style="212" hidden="1" customWidth="1"/>
    <col min="36" max="36" width="6.21875" style="212" hidden="1" customWidth="1"/>
    <col min="37" max="38" width="5.6640625" style="212" hidden="1" customWidth="1"/>
    <col min="39" max="39" width="5.33203125" style="212" hidden="1" customWidth="1"/>
    <col min="40" max="40" width="6" style="212" hidden="1" customWidth="1"/>
    <col min="41" max="41" width="5.88671875" style="212" hidden="1" customWidth="1"/>
    <col min="42" max="42" width="4.77734375" style="212" hidden="1" customWidth="1"/>
    <col min="43" max="43" width="5" style="212" hidden="1" customWidth="1"/>
    <col min="44" max="44" width="4.77734375" style="212" hidden="1" customWidth="1"/>
    <col min="45" max="45" width="6" style="212" hidden="1" customWidth="1"/>
    <col min="46" max="46" width="5.109375" style="212" hidden="1" customWidth="1"/>
    <col min="47" max="47" width="4.88671875" style="212" hidden="1" customWidth="1"/>
    <col min="48" max="49" width="5" style="212" hidden="1" customWidth="1"/>
    <col min="50" max="50" width="5.6640625" style="212" hidden="1" customWidth="1"/>
    <col min="51" max="52" width="5.33203125" style="212" hidden="1" customWidth="1"/>
    <col min="53" max="53" width="5.77734375" style="212" hidden="1" customWidth="1"/>
    <col min="54" max="54" width="6" style="212" hidden="1" customWidth="1"/>
    <col min="55" max="55" width="5.88671875" style="212" hidden="1" customWidth="1"/>
    <col min="56" max="56" width="5.6640625" style="212" hidden="1" customWidth="1"/>
    <col min="57" max="61" width="6.6640625" style="212" hidden="1" customWidth="1"/>
    <col min="62" max="62" width="8.6640625" style="212" hidden="1" customWidth="1"/>
    <col min="63" max="63" width="6.6640625" style="212" hidden="1" customWidth="1"/>
    <col min="64" max="118" width="9.6640625" style="212" hidden="1" customWidth="1"/>
    <col min="119" max="255" width="9.6640625" style="212" customWidth="1"/>
    <col min="256" max="16384" width="9.6640625" style="212"/>
  </cols>
  <sheetData>
    <row r="1" spans="1:6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60" ht="17.399999999999999" x14ac:dyDescent="0.3">
      <c r="A2" s="13"/>
      <c r="B2" s="253" t="s">
        <v>418</v>
      </c>
      <c r="C2" s="254"/>
      <c r="D2" s="254"/>
      <c r="E2" s="254"/>
      <c r="F2" s="254"/>
      <c r="G2" s="254"/>
      <c r="H2" s="254"/>
      <c r="I2" s="254"/>
      <c r="J2" s="254"/>
      <c r="K2" s="254"/>
      <c r="N2" s="212">
        <v>1</v>
      </c>
      <c r="O2" s="2" t="s">
        <v>426</v>
      </c>
      <c r="T2" s="213"/>
    </row>
    <row r="3" spans="1:60" ht="13.2" x14ac:dyDescent="0.25">
      <c r="A3" s="13"/>
      <c r="B3" s="14"/>
      <c r="C3" s="15"/>
      <c r="D3" s="16"/>
      <c r="E3" s="16"/>
      <c r="F3" s="16"/>
      <c r="G3" s="16"/>
      <c r="H3" s="16"/>
      <c r="I3" s="16"/>
      <c r="J3" s="16"/>
      <c r="K3" s="3"/>
      <c r="O3" s="2"/>
      <c r="T3" s="213"/>
    </row>
    <row r="4" spans="1:60" ht="15.6" x14ac:dyDescent="0.3">
      <c r="A4" s="13"/>
      <c r="B4" s="245" t="s">
        <v>155</v>
      </c>
      <c r="D4" s="33"/>
      <c r="E4" s="255" t="s">
        <v>144</v>
      </c>
      <c r="F4" s="256"/>
      <c r="G4" s="240">
        <f>IF(E4=P16, 2, 1)</f>
        <v>2</v>
      </c>
      <c r="H4" s="175"/>
      <c r="I4" s="172"/>
      <c r="J4" s="172"/>
      <c r="K4" s="183"/>
      <c r="N4" s="212">
        <v>2</v>
      </c>
      <c r="O4" s="2" t="s">
        <v>427</v>
      </c>
      <c r="P4" s="3"/>
      <c r="Q4" s="3"/>
    </row>
    <row r="5" spans="1:60" ht="6.75" customHeight="1" x14ac:dyDescent="0.25">
      <c r="A5" s="13"/>
      <c r="B5" s="35"/>
      <c r="C5" s="35"/>
      <c r="D5" s="35"/>
      <c r="E5" s="35"/>
      <c r="F5" s="35"/>
      <c r="G5" s="35"/>
      <c r="H5" s="35"/>
      <c r="I5" s="35"/>
      <c r="J5" s="35"/>
      <c r="K5" s="179"/>
      <c r="T5" s="213"/>
    </row>
    <row r="6" spans="1:60" ht="15.6" x14ac:dyDescent="0.3">
      <c r="A6" s="13"/>
      <c r="B6" s="35"/>
      <c r="C6" s="209"/>
      <c r="D6" s="36"/>
      <c r="E6" s="35"/>
      <c r="F6" s="178" t="s">
        <v>161</v>
      </c>
      <c r="H6" s="37" t="s">
        <v>118</v>
      </c>
      <c r="J6" s="37" t="s">
        <v>116</v>
      </c>
      <c r="K6" s="214"/>
      <c r="N6" s="212">
        <v>1</v>
      </c>
      <c r="O6" s="2" t="s">
        <v>60</v>
      </c>
      <c r="T6" s="213"/>
    </row>
    <row r="7" spans="1:60" ht="20.25" customHeight="1" thickBot="1" x14ac:dyDescent="0.35">
      <c r="A7" s="13"/>
      <c r="B7" s="38" t="s">
        <v>119</v>
      </c>
      <c r="C7" s="39" t="s">
        <v>86</v>
      </c>
      <c r="D7" s="40" t="s">
        <v>89</v>
      </c>
      <c r="E7" s="40" t="s">
        <v>151</v>
      </c>
      <c r="F7" s="41" t="s">
        <v>65</v>
      </c>
      <c r="G7" s="42" t="s">
        <v>63</v>
      </c>
      <c r="H7" s="43" t="s">
        <v>65</v>
      </c>
      <c r="I7" s="43" t="s">
        <v>64</v>
      </c>
      <c r="J7" s="43" t="s">
        <v>114</v>
      </c>
      <c r="K7" s="44" t="s">
        <v>66</v>
      </c>
      <c r="L7" s="215"/>
      <c r="M7" s="216"/>
      <c r="N7" s="212">
        <v>2</v>
      </c>
      <c r="O7" s="2" t="s">
        <v>93</v>
      </c>
      <c r="P7" s="2"/>
      <c r="BH7" s="11"/>
    </row>
    <row r="8" spans="1:60" ht="20.25" customHeight="1" x14ac:dyDescent="0.3">
      <c r="A8" s="13"/>
      <c r="B8" s="45">
        <v>3</v>
      </c>
      <c r="C8" s="89" t="str">
        <f>VLOOKUP(B8,'FEED LIST'!A$2:B$1000,2)</f>
        <v>ALFALFA HAY, FAIR</v>
      </c>
      <c r="D8" s="247">
        <v>0</v>
      </c>
      <c r="E8" s="46">
        <f>D8/$D$28</f>
        <v>0</v>
      </c>
      <c r="F8" s="47">
        <f>NUTRIENTS!C7</f>
        <v>7.5</v>
      </c>
      <c r="G8" s="48" t="s">
        <v>67</v>
      </c>
      <c r="H8" s="49">
        <f t="shared" ref="H8:H28" si="0">IF(G$4=1,I8*O$10,I8*O$11)</f>
        <v>50.842711599226647</v>
      </c>
      <c r="I8" s="50">
        <f>NUTRIENTS!E27</f>
        <v>55.475000000000001</v>
      </c>
      <c r="J8" s="51" t="s">
        <v>117</v>
      </c>
      <c r="K8" s="52"/>
      <c r="L8" s="215"/>
      <c r="M8" s="216"/>
      <c r="BH8" s="10"/>
    </row>
    <row r="9" spans="1:60" ht="15.9" customHeight="1" x14ac:dyDescent="0.3">
      <c r="A9" s="13"/>
      <c r="B9" s="45">
        <v>15</v>
      </c>
      <c r="C9" s="90" t="str">
        <f>VLOOKUP(B9,'FEED LIST'!A$2:B$1000,2)</f>
        <v xml:space="preserve">GRASS HAY </v>
      </c>
      <c r="D9" s="247">
        <v>89.5</v>
      </c>
      <c r="E9" s="46">
        <f t="shared" ref="E9:E27" si="1">D9/$D$28</f>
        <v>0.89500000000000002</v>
      </c>
      <c r="F9" s="47">
        <f>NUTRIENTS!C8</f>
        <v>5</v>
      </c>
      <c r="G9" s="48" t="s">
        <v>68</v>
      </c>
      <c r="H9" s="49">
        <f t="shared" si="0"/>
        <v>27.185155681951525</v>
      </c>
      <c r="I9" s="50">
        <f>NUTRIENTS!F27</f>
        <v>29.662000000000003</v>
      </c>
      <c r="J9" s="51" t="s">
        <v>117</v>
      </c>
      <c r="K9" s="52"/>
      <c r="L9" s="215"/>
      <c r="M9" s="216"/>
      <c r="BH9" s="10"/>
    </row>
    <row r="10" spans="1:60" ht="15.9" customHeight="1" x14ac:dyDescent="0.3">
      <c r="A10" s="13"/>
      <c r="B10" s="53">
        <v>320</v>
      </c>
      <c r="C10" s="90" t="str">
        <f>VLOOKUP(B10,'FEED LIST'!A$2:B$1000,2)</f>
        <v>DISTILLERS GRAINS</v>
      </c>
      <c r="D10" s="247">
        <v>10</v>
      </c>
      <c r="E10" s="46">
        <f t="shared" si="1"/>
        <v>0.1</v>
      </c>
      <c r="F10" s="47">
        <f>NUTRIENTS!C9</f>
        <v>15</v>
      </c>
      <c r="G10" s="48" t="s">
        <v>69</v>
      </c>
      <c r="H10" s="49">
        <f t="shared" si="0"/>
        <v>54.686979659743784</v>
      </c>
      <c r="I10" s="50">
        <f>(NUTRIENTS!U27)</f>
        <v>59.669519999999999</v>
      </c>
      <c r="J10" s="51" t="s">
        <v>117</v>
      </c>
      <c r="K10" s="52"/>
      <c r="L10" s="215"/>
      <c r="M10" s="216"/>
      <c r="O10" s="3">
        <f>NUTRIENTS!AH1</f>
        <v>1.0911101759734587</v>
      </c>
      <c r="P10" s="3" t="s">
        <v>133</v>
      </c>
      <c r="BH10" s="10"/>
    </row>
    <row r="11" spans="1:60" ht="15.9" customHeight="1" x14ac:dyDescent="0.3">
      <c r="A11" s="13"/>
      <c r="B11" s="53">
        <v>11</v>
      </c>
      <c r="C11" s="90" t="str">
        <f>VLOOKUP(B11,'FEED LIST'!A$2:B$1000,2)</f>
        <v>CORN, WHOLE HAY</v>
      </c>
      <c r="D11" s="247">
        <v>0</v>
      </c>
      <c r="E11" s="46">
        <f t="shared" si="1"/>
        <v>0</v>
      </c>
      <c r="F11" s="47">
        <f>NUTRIENTS!C10</f>
        <v>0</v>
      </c>
      <c r="G11" s="48" t="s">
        <v>70</v>
      </c>
      <c r="H11" s="49">
        <f t="shared" si="0"/>
        <v>3.2087181268165201</v>
      </c>
      <c r="I11" s="50">
        <f>(NUTRIENTS!V27)</f>
        <v>3.5010650000000005</v>
      </c>
      <c r="J11" s="51" t="s">
        <v>117</v>
      </c>
      <c r="K11" s="52"/>
      <c r="L11" s="215"/>
      <c r="M11" s="216"/>
      <c r="O11" s="212">
        <f>NUTRIENTS!AH4/100</f>
        <v>0.91649773049529781</v>
      </c>
      <c r="P11" s="3" t="s">
        <v>134</v>
      </c>
      <c r="BH11" s="10"/>
    </row>
    <row r="12" spans="1:60" ht="15.9" customHeight="1" x14ac:dyDescent="0.3">
      <c r="A12" s="13"/>
      <c r="B12" s="53">
        <v>809</v>
      </c>
      <c r="C12" s="90" t="str">
        <f>VLOOKUP(B12,'FEED LIST'!A$2:B$1000,2)</f>
        <v>LIMESTONE 38%</v>
      </c>
      <c r="D12" s="247">
        <v>0.5</v>
      </c>
      <c r="E12" s="46">
        <f t="shared" si="1"/>
        <v>5.0000000000000001E-3</v>
      </c>
      <c r="F12" s="47">
        <f>NUTRIENTS!C11</f>
        <v>5</v>
      </c>
      <c r="G12" s="48" t="s">
        <v>71</v>
      </c>
      <c r="H12" s="49">
        <f t="shared" si="0"/>
        <v>26.439580195704941</v>
      </c>
      <c r="I12" s="50">
        <f>(NUTRIENTS!W27)</f>
        <v>28.848494999999996</v>
      </c>
      <c r="J12" s="51" t="s">
        <v>117</v>
      </c>
      <c r="K12" s="52"/>
      <c r="L12" s="215"/>
      <c r="M12" s="216"/>
      <c r="BH12" s="10"/>
    </row>
    <row r="13" spans="1:60" ht="15.9" customHeight="1" x14ac:dyDescent="0.3">
      <c r="A13" s="13"/>
      <c r="B13" s="53"/>
      <c r="C13" s="90">
        <f>VLOOKUP(B13,'FEED LIST'!A$2:B$1000,2)</f>
        <v>0</v>
      </c>
      <c r="D13" s="247"/>
      <c r="E13" s="46">
        <f t="shared" si="1"/>
        <v>0</v>
      </c>
      <c r="F13" s="47">
        <f>NUTRIENTS!C12</f>
        <v>0</v>
      </c>
      <c r="G13" s="54" t="s">
        <v>127</v>
      </c>
      <c r="H13" s="49">
        <f t="shared" si="0"/>
        <v>33.511024647330778</v>
      </c>
      <c r="I13" s="55">
        <f>NUTRIENTS!X52</f>
        <v>36.564219999999999</v>
      </c>
      <c r="J13" s="35"/>
      <c r="K13" s="52"/>
      <c r="L13" s="215"/>
      <c r="M13" s="216"/>
      <c r="BH13" s="10"/>
    </row>
    <row r="14" spans="1:60" ht="15.9" customHeight="1" x14ac:dyDescent="0.3">
      <c r="A14" s="13"/>
      <c r="B14" s="56"/>
      <c r="C14" s="90">
        <f>VLOOKUP(B14,'FEED LIST'!A$2:B$1000,2)</f>
        <v>0</v>
      </c>
      <c r="D14" s="248"/>
      <c r="E14" s="46">
        <f t="shared" si="1"/>
        <v>0</v>
      </c>
      <c r="F14" s="47">
        <f>NUTRIENTS!C13</f>
        <v>0</v>
      </c>
      <c r="G14" s="54" t="s">
        <v>128</v>
      </c>
      <c r="H14" s="49">
        <f t="shared" si="0"/>
        <v>54.772195618725242</v>
      </c>
      <c r="I14" s="55">
        <f>NUTRIENTS!Y52</f>
        <v>59.762500000000003</v>
      </c>
      <c r="J14" s="35"/>
      <c r="K14" s="52"/>
      <c r="L14" s="215"/>
      <c r="M14" s="216"/>
      <c r="P14" s="213" t="s">
        <v>145</v>
      </c>
      <c r="BH14" s="10"/>
    </row>
    <row r="15" spans="1:60" ht="15.9" customHeight="1" x14ac:dyDescent="0.3">
      <c r="A15" s="13"/>
      <c r="B15" s="56"/>
      <c r="C15" s="90">
        <f>VLOOKUP(B15,'FEED LIST'!A$2:B$1000,2)</f>
        <v>0</v>
      </c>
      <c r="D15" s="248"/>
      <c r="E15" s="46">
        <f t="shared" si="1"/>
        <v>0</v>
      </c>
      <c r="F15" s="47">
        <f>NUTRIENTS!C14</f>
        <v>0</v>
      </c>
      <c r="G15" s="54" t="s">
        <v>129</v>
      </c>
      <c r="H15" s="49">
        <f t="shared" si="0"/>
        <v>0.36659909219811915</v>
      </c>
      <c r="I15" s="55">
        <f>NUTRIENTS!Z52</f>
        <v>0.4</v>
      </c>
      <c r="J15" s="35"/>
      <c r="K15" s="52"/>
      <c r="L15" s="215"/>
      <c r="M15" s="216"/>
      <c r="P15" s="213" t="s">
        <v>146</v>
      </c>
      <c r="BH15" s="10"/>
    </row>
    <row r="16" spans="1:60" ht="15.9" customHeight="1" x14ac:dyDescent="0.3">
      <c r="A16" s="13"/>
      <c r="B16" s="56"/>
      <c r="C16" s="90">
        <f>VLOOKUP(B16,'FEED LIST'!A$2:B$1000,2)</f>
        <v>0</v>
      </c>
      <c r="D16" s="248"/>
      <c r="E16" s="46">
        <f t="shared" si="1"/>
        <v>0</v>
      </c>
      <c r="F16" s="47">
        <f>NUTRIENTS!C15</f>
        <v>0</v>
      </c>
      <c r="G16" s="48" t="s">
        <v>72</v>
      </c>
      <c r="H16" s="49">
        <f t="shared" si="0"/>
        <v>11.809284051909927</v>
      </c>
      <c r="I16" s="50">
        <f>NUTRIENTS!G27</f>
        <v>12.88523</v>
      </c>
      <c r="J16" s="57">
        <f>IF(U40&gt;10.5,U40,10.5)</f>
        <v>10.5</v>
      </c>
      <c r="K16" s="58" t="str">
        <f>IF(J16-0.05&lt;I16,Q$59,Q$60)</f>
        <v>ADEQUATE</v>
      </c>
      <c r="L16" s="217"/>
      <c r="M16" s="216"/>
      <c r="P16" s="213" t="s">
        <v>144</v>
      </c>
      <c r="BH16" s="10"/>
    </row>
    <row r="17" spans="1:60" ht="15.9" customHeight="1" x14ac:dyDescent="0.3">
      <c r="A17" s="13"/>
      <c r="B17" s="56"/>
      <c r="C17" s="90">
        <f>VLOOKUP(B17,'FEED LIST'!A$2:B$1000,2)</f>
        <v>0</v>
      </c>
      <c r="D17" s="248"/>
      <c r="E17" s="46">
        <f t="shared" si="1"/>
        <v>0</v>
      </c>
      <c r="F17" s="47">
        <f>NUTRIENTS!C16</f>
        <v>0</v>
      </c>
      <c r="G17" s="48" t="s">
        <v>73</v>
      </c>
      <c r="H17" s="49">
        <f t="shared" si="0"/>
        <v>1.6411129136454479</v>
      </c>
      <c r="I17" s="50">
        <f>NUTRIENTS!H27</f>
        <v>1.7906350000000002</v>
      </c>
      <c r="J17" s="59">
        <v>0.65</v>
      </c>
      <c r="K17" s="60" t="str">
        <f>VLOOKUP(I17,Q48:Z50,10)</f>
        <v>EXCESSIVE</v>
      </c>
      <c r="L17" s="218"/>
      <c r="M17" s="216"/>
      <c r="BH17" s="10"/>
    </row>
    <row r="18" spans="1:60" ht="15.9" customHeight="1" x14ac:dyDescent="0.3">
      <c r="A18" s="13"/>
      <c r="B18" s="56"/>
      <c r="C18" s="90">
        <f>VLOOKUP(B18,'FEED LIST'!A$2:B$1000,2)</f>
        <v>0</v>
      </c>
      <c r="D18" s="248"/>
      <c r="E18" s="46">
        <f t="shared" si="1"/>
        <v>0</v>
      </c>
      <c r="F18" s="47">
        <f>NUTRIENTS!C17</f>
        <v>0</v>
      </c>
      <c r="G18" s="48" t="s">
        <v>74</v>
      </c>
      <c r="H18" s="49">
        <f t="shared" si="0"/>
        <v>0.61059370049922979</v>
      </c>
      <c r="I18" s="50">
        <f>NUTRIENTS!I27</f>
        <v>0.66622499999999996</v>
      </c>
      <c r="J18" s="61">
        <f>((VLOOKUP(E33,P40:S45,4)/454)/R35)*100</f>
        <v>0.41098916087099097</v>
      </c>
      <c r="K18" s="62" t="str">
        <f>IF(J18-0.02&lt;I18,Q$59,Q$60)</f>
        <v>ADEQUATE</v>
      </c>
      <c r="L18" s="219"/>
      <c r="M18" s="216"/>
      <c r="BH18" s="10"/>
    </row>
    <row r="19" spans="1:60" ht="15.9" customHeight="1" x14ac:dyDescent="0.3">
      <c r="A19" s="13"/>
      <c r="B19" s="56"/>
      <c r="C19" s="90">
        <f>VLOOKUP(B19,'FEED LIST'!A$2:B$1000,2)</f>
        <v>0</v>
      </c>
      <c r="D19" s="248"/>
      <c r="E19" s="46">
        <f t="shared" si="1"/>
        <v>0</v>
      </c>
      <c r="F19" s="47">
        <f>NUTRIENTS!C18</f>
        <v>0</v>
      </c>
      <c r="G19" s="48" t="s">
        <v>75</v>
      </c>
      <c r="H19" s="49">
        <f t="shared" si="0"/>
        <v>0.2780195865457486</v>
      </c>
      <c r="I19" s="50">
        <f>NUTRIENTS!J27</f>
        <v>0.30335000000000001</v>
      </c>
      <c r="J19" s="61">
        <f>((VLOOKUP(E33,P40:T45,5)/454)/R35)*100</f>
        <v>0.21161899219425753</v>
      </c>
      <c r="K19" s="62" t="str">
        <f>IF(J19-0.01&lt;I19,Q$59,Q$60)</f>
        <v>ADEQUATE</v>
      </c>
      <c r="L19" s="219"/>
      <c r="M19" s="216"/>
      <c r="BH19" s="10"/>
    </row>
    <row r="20" spans="1:60" ht="15.9" customHeight="1" x14ac:dyDescent="0.3">
      <c r="A20" s="13"/>
      <c r="B20" s="56"/>
      <c r="C20" s="90">
        <f>VLOOKUP(B20,'FEED LIST'!A$2:B$1000,2)</f>
        <v>0</v>
      </c>
      <c r="D20" s="248"/>
      <c r="E20" s="46">
        <f t="shared" si="1"/>
        <v>0</v>
      </c>
      <c r="F20" s="63">
        <f>NUTRIENTS!C19</f>
        <v>0</v>
      </c>
      <c r="G20" s="48" t="s">
        <v>76</v>
      </c>
      <c r="H20" s="49">
        <f t="shared" si="0"/>
        <v>0.19835302132244481</v>
      </c>
      <c r="I20" s="50">
        <f>(NUTRIENTS!M27)</f>
        <v>0.21642499999999998</v>
      </c>
      <c r="J20" s="59">
        <v>0.1</v>
      </c>
      <c r="K20" s="62" t="str">
        <f>VLOOKUP(I20,R48:Z50,9)</f>
        <v>ADEQUATE</v>
      </c>
      <c r="L20" s="219"/>
      <c r="M20" s="216"/>
      <c r="N20" s="220" t="s">
        <v>416</v>
      </c>
      <c r="O20" s="221">
        <f>(((E32*0.454)^0.75*(0.2435*O22-0.0466*O22^2-0.0869))/O22)*2.2</f>
        <v>14.852575758751883</v>
      </c>
      <c r="P20" s="220"/>
    </row>
    <row r="21" spans="1:60" ht="15.9" customHeight="1" x14ac:dyDescent="0.3">
      <c r="A21" s="13"/>
      <c r="B21" s="56"/>
      <c r="C21" s="90">
        <f>VLOOKUP(B21,'FEED LIST'!A$2:B$1000,2)</f>
        <v>0</v>
      </c>
      <c r="D21" s="248"/>
      <c r="E21" s="46">
        <f t="shared" si="1"/>
        <v>0</v>
      </c>
      <c r="F21" s="63">
        <f>NUTRIENTS!C20</f>
        <v>0</v>
      </c>
      <c r="G21" s="48" t="s">
        <v>77</v>
      </c>
      <c r="H21" s="49">
        <f t="shared" si="0"/>
        <v>0.20115292188910794</v>
      </c>
      <c r="I21" s="50">
        <f>(NUTRIENTS!N27)</f>
        <v>0.21947999999999998</v>
      </c>
      <c r="J21" s="59">
        <v>0.1</v>
      </c>
      <c r="K21" s="62" t="str">
        <f>VLOOKUP(I21,S48:Z50,8)</f>
        <v>EXCESSIVE</v>
      </c>
      <c r="L21" s="219"/>
      <c r="M21" s="216"/>
      <c r="N21" s="220" t="s">
        <v>415</v>
      </c>
      <c r="O21" s="221">
        <f>(((E32*0.454)^0.75*(0.2435*O22-0.0466*O22^2-0.1128))/O22)*2.2</f>
        <v>12.125480051469768</v>
      </c>
      <c r="P21" s="220"/>
    </row>
    <row r="22" spans="1:60" ht="15.9" customHeight="1" x14ac:dyDescent="0.3">
      <c r="A22" s="13"/>
      <c r="B22" s="56"/>
      <c r="C22" s="90">
        <f>VLOOKUP(B22,'FEED LIST'!A$2:B$1000,2)</f>
        <v>0</v>
      </c>
      <c r="D22" s="248"/>
      <c r="E22" s="46">
        <f t="shared" si="1"/>
        <v>0</v>
      </c>
      <c r="F22" s="63">
        <f>NUTRIENTS!C21</f>
        <v>0</v>
      </c>
      <c r="G22" s="48" t="s">
        <v>78</v>
      </c>
      <c r="H22" s="49">
        <f t="shared" si="0"/>
        <v>0.77404648824441358</v>
      </c>
      <c r="I22" s="50">
        <f>(NUTRIENTS!O27)</f>
        <v>0.84456999999999993</v>
      </c>
      <c r="J22" s="59">
        <v>0.1</v>
      </c>
      <c r="K22" s="62" t="str">
        <f>VLOOKUP(I22,T48:Z50,7)</f>
        <v>EXCESSIVE</v>
      </c>
      <c r="L22" s="219"/>
      <c r="M22" s="216"/>
      <c r="N22" s="220" t="s">
        <v>414</v>
      </c>
      <c r="O22" s="220">
        <f>NUTRIENTS!E52/45.4</f>
        <v>1.2219162995594715</v>
      </c>
      <c r="P22" s="220"/>
    </row>
    <row r="23" spans="1:60" ht="15.9" customHeight="1" x14ac:dyDescent="0.3">
      <c r="A23" s="13"/>
      <c r="B23" s="56"/>
      <c r="C23" s="90">
        <f>VLOOKUP(B23,'FEED LIST'!A$2:B$1000,2)</f>
        <v>0</v>
      </c>
      <c r="D23" s="248"/>
      <c r="E23" s="46">
        <f t="shared" si="1"/>
        <v>0</v>
      </c>
      <c r="F23" s="63">
        <f>NUTRIENTS!C22</f>
        <v>0</v>
      </c>
      <c r="G23" s="48" t="s">
        <v>79</v>
      </c>
      <c r="H23" s="49">
        <f t="shared" si="0"/>
        <v>7.9793454334090823</v>
      </c>
      <c r="I23" s="64">
        <f>(NUTRIENTS!P27)</f>
        <v>8.7063449999999989</v>
      </c>
      <c r="J23" s="59">
        <v>8</v>
      </c>
      <c r="K23" s="62" t="str">
        <f>VLOOKUP(I23,U48:Z50,6)</f>
        <v>ADEQUATE</v>
      </c>
      <c r="L23" s="219"/>
      <c r="M23" s="216"/>
      <c r="N23" s="220"/>
      <c r="O23" s="220">
        <f>NUTRIENTS!E52</f>
        <v>55.475000000000001</v>
      </c>
      <c r="P23" s="220"/>
    </row>
    <row r="24" spans="1:60" ht="15.9" customHeight="1" x14ac:dyDescent="0.3">
      <c r="A24" s="13"/>
      <c r="B24" s="56"/>
      <c r="C24" s="90">
        <f>VLOOKUP(B24,'FEED LIST'!A$2:B$1000,2)</f>
        <v>0</v>
      </c>
      <c r="D24" s="249"/>
      <c r="E24" s="46">
        <f t="shared" si="1"/>
        <v>0</v>
      </c>
      <c r="F24" s="65">
        <f>NUTRIENTS!C23</f>
        <v>0</v>
      </c>
      <c r="G24" s="48" t="s">
        <v>80</v>
      </c>
      <c r="H24" s="49">
        <f t="shared" si="0"/>
        <v>164.84558476372894</v>
      </c>
      <c r="I24" s="64">
        <f>(NUTRIENTS!Q27)</f>
        <v>179.86469499999998</v>
      </c>
      <c r="J24" s="59">
        <v>50</v>
      </c>
      <c r="K24" s="62" t="str">
        <f>VLOOKUP(I24,V48:Z50,5)</f>
        <v>EXCESSIVE</v>
      </c>
      <c r="L24" s="219"/>
      <c r="M24" s="216"/>
      <c r="N24" s="179" t="s">
        <v>417</v>
      </c>
      <c r="O24" s="222">
        <f>IF(E34=1,O21,O20)</f>
        <v>14.852575758751883</v>
      </c>
      <c r="P24" s="220"/>
    </row>
    <row r="25" spans="1:60" ht="15.9" customHeight="1" x14ac:dyDescent="0.3">
      <c r="A25" s="13"/>
      <c r="B25" s="56"/>
      <c r="C25" s="90">
        <f>VLOOKUP(B25,'FEED LIST'!A$2:B$1000,2)</f>
        <v>0</v>
      </c>
      <c r="D25" s="249"/>
      <c r="E25" s="46">
        <f t="shared" si="1"/>
        <v>0</v>
      </c>
      <c r="F25" s="65">
        <f>NUTRIENTS!C24</f>
        <v>0</v>
      </c>
      <c r="G25" s="48" t="s">
        <v>81</v>
      </c>
      <c r="H25" s="49">
        <f t="shared" si="0"/>
        <v>64.922925805178409</v>
      </c>
      <c r="I25" s="64">
        <f>(NUTRIENTS!R27)</f>
        <v>70.838065000000014</v>
      </c>
      <c r="J25" s="59">
        <v>40</v>
      </c>
      <c r="K25" s="62" t="str">
        <f>VLOOKUP(I25,W48:Z50,4)</f>
        <v>EXCESSIVE</v>
      </c>
      <c r="L25" s="219"/>
      <c r="M25" s="216"/>
      <c r="N25" s="220"/>
      <c r="O25" s="220"/>
      <c r="P25" s="220"/>
    </row>
    <row r="26" spans="1:60" ht="15.9" customHeight="1" x14ac:dyDescent="0.3">
      <c r="A26" s="13"/>
      <c r="B26" s="56"/>
      <c r="C26" s="90">
        <f>VLOOKUP(B26,'FEED LIST'!A$2:B$1000,2)</f>
        <v>0</v>
      </c>
      <c r="D26" s="249"/>
      <c r="E26" s="46">
        <f t="shared" si="1"/>
        <v>0</v>
      </c>
      <c r="F26" s="65">
        <f>NUTRIENTS!C25</f>
        <v>0</v>
      </c>
      <c r="G26" s="48" t="s">
        <v>82</v>
      </c>
      <c r="H26" s="49">
        <f t="shared" si="0"/>
        <v>3.8492904680802513E-2</v>
      </c>
      <c r="I26" s="50">
        <f>(NUTRIENTS!S27)</f>
        <v>4.2000000000000003E-2</v>
      </c>
      <c r="J26" s="59">
        <v>0.2</v>
      </c>
      <c r="K26" s="62" t="e">
        <f>VLOOKUP(I26,X48:Z50,3)</f>
        <v>#VALUE!</v>
      </c>
      <c r="L26" s="219"/>
      <c r="M26" s="216"/>
    </row>
    <row r="27" spans="1:60" ht="15.9" customHeight="1" thickBot="1" x14ac:dyDescent="0.35">
      <c r="A27" s="13"/>
      <c r="B27" s="186"/>
      <c r="C27" s="187">
        <f>VLOOKUP(B27,'FEED LIST'!A$2:B$1000,2)</f>
        <v>0</v>
      </c>
      <c r="D27" s="250"/>
      <c r="E27" s="66">
        <f t="shared" si="1"/>
        <v>0</v>
      </c>
      <c r="F27" s="67">
        <f>NUTRIENTS!C26</f>
        <v>0</v>
      </c>
      <c r="G27" s="68" t="s">
        <v>83</v>
      </c>
      <c r="H27" s="69">
        <f t="shared" si="0"/>
        <v>34.949751949639605</v>
      </c>
      <c r="I27" s="70">
        <f>(NUTRIENTS!T27)</f>
        <v>38.134030000000003</v>
      </c>
      <c r="J27" s="71">
        <v>30</v>
      </c>
      <c r="K27" s="72" t="str">
        <f>VLOOKUP(I27,Y48:Z50,2)</f>
        <v>ADEQUATE</v>
      </c>
      <c r="L27" s="219"/>
      <c r="M27" s="216"/>
    </row>
    <row r="28" spans="1:60" ht="18" customHeight="1" x14ac:dyDescent="0.3">
      <c r="A28" s="13"/>
      <c r="B28" s="35"/>
      <c r="C28" s="48" t="s">
        <v>92</v>
      </c>
      <c r="D28" s="251">
        <f>SUM(D8:D27)</f>
        <v>100</v>
      </c>
      <c r="E28" s="184">
        <f>SUM(E8:E27)</f>
        <v>1</v>
      </c>
      <c r="F28" s="73"/>
      <c r="G28" s="74" t="s">
        <v>84</v>
      </c>
      <c r="H28" s="185">
        <f t="shared" si="0"/>
        <v>6.0399030221316616</v>
      </c>
      <c r="I28" s="75">
        <f>(NUTRIENTS!C52)</f>
        <v>6.5901996493407031</v>
      </c>
      <c r="J28" s="73"/>
      <c r="K28" s="76"/>
      <c r="L28" s="3"/>
    </row>
    <row r="29" spans="1:60" ht="12.75" customHeight="1" x14ac:dyDescent="0.25">
      <c r="A29" s="13"/>
      <c r="B29" s="77"/>
      <c r="C29" s="35"/>
      <c r="D29" s="78"/>
      <c r="E29" s="35"/>
      <c r="F29" s="35"/>
      <c r="G29" s="78"/>
      <c r="H29" s="35"/>
      <c r="I29" s="35"/>
      <c r="J29" s="78"/>
      <c r="K29" s="179"/>
    </row>
    <row r="30" spans="1:60" ht="15.6" x14ac:dyDescent="0.3">
      <c r="A30" s="13"/>
      <c r="B30" s="35"/>
      <c r="C30" s="238" t="s">
        <v>413</v>
      </c>
      <c r="D30" s="35"/>
      <c r="E30" s="210">
        <f>IF(G4=2,O24,O24/(J30/100))</f>
        <v>14.852575758751883</v>
      </c>
      <c r="F30" s="79" t="s">
        <v>132</v>
      </c>
      <c r="G30" s="35"/>
      <c r="H30" s="35"/>
      <c r="I30" s="35"/>
      <c r="J30" s="80">
        <f>IF(G4=1,O10*100,O11*100)</f>
        <v>91.649773049529784</v>
      </c>
      <c r="K30" s="81"/>
      <c r="M30" s="5"/>
      <c r="N30" s="5"/>
    </row>
    <row r="31" spans="1:60" ht="15.6" x14ac:dyDescent="0.3">
      <c r="A31" s="13"/>
      <c r="B31" s="241"/>
      <c r="C31" s="242" t="str">
        <f>VLOOKUP(G4,N2:O4,2)</f>
        <v>ENTER FEED DRY MATTER PER DAY</v>
      </c>
      <c r="D31" s="243"/>
      <c r="E31" s="237">
        <f>E30</f>
        <v>14.852575758751883</v>
      </c>
      <c r="F31" s="174" t="str">
        <f>VLOOKUP(G4,N6:O7,2)</f>
        <v>AS FED FEED/DAY</v>
      </c>
      <c r="G31" s="82"/>
      <c r="H31" s="35"/>
      <c r="I31" s="35"/>
      <c r="J31" s="80">
        <f>+IF(G4=1,O10*E31,E31*O10)</f>
        <v>16.205796549790893</v>
      </c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60" ht="15.6" x14ac:dyDescent="0.3">
      <c r="A32" s="13"/>
      <c r="B32" s="241"/>
      <c r="C32" s="242" t="s">
        <v>424</v>
      </c>
      <c r="D32" s="244"/>
      <c r="E32" s="83">
        <v>500</v>
      </c>
      <c r="F32" s="84" t="s">
        <v>94</v>
      </c>
      <c r="G32" s="35"/>
      <c r="H32" s="35"/>
      <c r="I32" s="35"/>
      <c r="J32" s="85">
        <f>VLOOKUP(E33,P40:Q45,2)</f>
        <v>1.7408571473086862</v>
      </c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6" x14ac:dyDescent="0.3">
      <c r="A33" s="13"/>
      <c r="B33" s="241"/>
      <c r="C33" s="242" t="s">
        <v>425</v>
      </c>
      <c r="D33" s="244"/>
      <c r="E33" s="83">
        <v>1</v>
      </c>
      <c r="F33" s="84" t="s">
        <v>95</v>
      </c>
      <c r="G33" s="239" t="str">
        <f>IF(G4=1,"AS FED BASIS","DRY MATTER BASIS")</f>
        <v>DRY MATTER BASIS</v>
      </c>
      <c r="H33" s="86"/>
      <c r="I33" s="86"/>
      <c r="J33" s="85">
        <f>IF(G4=1,E31/J32,E31/J32)</f>
        <v>8.5317602203681826</v>
      </c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6" x14ac:dyDescent="0.3">
      <c r="A34" s="13"/>
      <c r="B34" s="35"/>
      <c r="C34" s="252" t="s">
        <v>430</v>
      </c>
      <c r="D34" s="35"/>
      <c r="E34" s="83">
        <v>2</v>
      </c>
      <c r="F34" s="84" t="s">
        <v>154</v>
      </c>
      <c r="G34" s="87"/>
      <c r="H34" s="86"/>
      <c r="I34" s="86"/>
      <c r="J34" s="85">
        <f>IF(G4=1,J33*H28,J33*I28)</f>
        <v>56.226003212529356</v>
      </c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13"/>
      <c r="B35" s="35"/>
      <c r="D35" s="35"/>
      <c r="E35" s="35"/>
      <c r="F35" s="179" t="s">
        <v>156</v>
      </c>
      <c r="G35" s="35"/>
      <c r="H35" s="35"/>
      <c r="I35" s="35"/>
      <c r="J35" s="173">
        <f>+IF(G4=1,O10*E31/E32,E31/E32)</f>
        <v>2.9705151517503765E-2</v>
      </c>
      <c r="K35" s="179"/>
      <c r="L35" s="3"/>
      <c r="M35" s="3"/>
      <c r="N35" s="3"/>
      <c r="O35" s="7"/>
      <c r="P35" s="7"/>
      <c r="Q35" s="8" t="s">
        <v>96</v>
      </c>
      <c r="R35" s="7">
        <f>+IF(G4=1,J31,E31)</f>
        <v>14.852575758751883</v>
      </c>
      <c r="S35" s="7"/>
      <c r="T35" s="7"/>
      <c r="U35" s="7"/>
      <c r="V35" s="7"/>
      <c r="W35" s="7"/>
      <c r="X35" s="7"/>
      <c r="Y35" s="7"/>
      <c r="Z35" s="7"/>
      <c r="AA35" s="7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" customHeight="1" x14ac:dyDescent="0.25">
      <c r="A36" s="13"/>
      <c r="B36" s="35"/>
      <c r="D36" s="35"/>
      <c r="E36" s="35"/>
      <c r="F36" s="174"/>
      <c r="G36" s="35"/>
      <c r="H36" s="35"/>
      <c r="I36" s="35"/>
      <c r="J36" s="35"/>
      <c r="K36" s="179"/>
      <c r="L36" s="3"/>
      <c r="M36" s="3"/>
      <c r="N36" s="3"/>
      <c r="O36" s="7"/>
      <c r="P36" s="7"/>
      <c r="Q36" s="8" t="s">
        <v>97</v>
      </c>
      <c r="R36" s="7">
        <f>((R35-(((R37*0.043)/((NUTRIENTS!E27*0.01))))))</f>
        <v>6.656638070073333</v>
      </c>
      <c r="S36" s="7"/>
      <c r="T36" s="7"/>
      <c r="U36" s="7"/>
      <c r="V36" s="7"/>
      <c r="W36" s="7"/>
      <c r="X36" s="7"/>
      <c r="Y36" s="7"/>
      <c r="Z36" s="7"/>
      <c r="AA36" s="7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7.399999999999999" x14ac:dyDescent="0.3">
      <c r="A37" s="13"/>
      <c r="B37" s="35"/>
      <c r="C37" s="246" t="str">
        <f>IF(G4=1,"THIS RATION FORMULATED ON AN AS FED BASIS for:","THIS RATION FORMULATED ON A DRY MATTER BASIS for:")</f>
        <v>THIS RATION FORMULATED ON A DRY MATTER BASIS for:</v>
      </c>
      <c r="D37" s="35"/>
      <c r="E37" s="35"/>
      <c r="F37" s="35"/>
      <c r="G37" s="35"/>
      <c r="H37" s="35"/>
      <c r="I37" s="35"/>
      <c r="J37" s="35"/>
      <c r="K37" s="179"/>
      <c r="L37" s="3"/>
      <c r="M37" s="3"/>
      <c r="N37" s="3"/>
      <c r="O37" s="7"/>
      <c r="P37" s="7"/>
      <c r="Q37" s="8" t="s">
        <v>98</v>
      </c>
      <c r="R37" s="7">
        <f>(E32^0.75)</f>
        <v>105.73712634405643</v>
      </c>
      <c r="S37" s="7"/>
      <c r="T37" s="7"/>
      <c r="U37" s="7"/>
      <c r="V37" s="7"/>
      <c r="W37" s="7"/>
      <c r="X37" s="7"/>
      <c r="Y37" s="7"/>
      <c r="Z37" s="7"/>
      <c r="AA37" s="7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" hidden="1" x14ac:dyDescent="0.25">
      <c r="A38" s="13"/>
      <c r="B38" s="35"/>
      <c r="D38" s="35"/>
      <c r="E38" s="88"/>
      <c r="F38" s="35"/>
      <c r="G38" s="35"/>
      <c r="H38" s="35"/>
      <c r="I38" s="35"/>
      <c r="J38" s="35"/>
      <c r="K38" s="179"/>
      <c r="L38" s="3"/>
      <c r="M38" s="3"/>
      <c r="N38" s="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" x14ac:dyDescent="0.25">
      <c r="A39" s="13"/>
      <c r="B39" s="35"/>
      <c r="C39" s="35" t="str">
        <f>VLOOKUP(E33,P52:AC57,2)</f>
        <v>LARGE-FRAME BULL CALVES AND COMPENSATING LARGE-FRAME YEARLING STEERS.</v>
      </c>
      <c r="D39" s="35"/>
      <c r="E39" s="35"/>
      <c r="F39" s="35"/>
      <c r="G39" s="35"/>
      <c r="H39" s="35"/>
      <c r="I39" s="35"/>
      <c r="J39" s="35"/>
      <c r="K39" s="179"/>
      <c r="L39" s="3"/>
      <c r="M39" s="3"/>
      <c r="N39" s="3"/>
      <c r="O39" s="7"/>
      <c r="P39" s="7"/>
      <c r="Q39" s="8" t="s">
        <v>99</v>
      </c>
      <c r="R39" s="8" t="s">
        <v>4</v>
      </c>
      <c r="S39" s="8" t="s">
        <v>100</v>
      </c>
      <c r="T39" s="8" t="s">
        <v>7</v>
      </c>
      <c r="U39" s="7"/>
      <c r="V39" s="7"/>
      <c r="W39" s="7"/>
      <c r="X39" s="7"/>
      <c r="Y39" s="7"/>
      <c r="Z39" s="7"/>
      <c r="AA39" s="7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6.5" customHeight="1" x14ac:dyDescent="0.25">
      <c r="A40" s="13"/>
      <c r="B40" s="35"/>
      <c r="D40" s="35"/>
      <c r="E40" s="35"/>
      <c r="F40" s="35"/>
      <c r="G40" s="35"/>
      <c r="H40" s="35"/>
      <c r="I40" s="35"/>
      <c r="J40" s="35"/>
      <c r="K40" s="179"/>
      <c r="L40" s="3"/>
      <c r="M40" s="3"/>
      <c r="N40" s="3"/>
      <c r="O40" s="7"/>
      <c r="P40" s="7">
        <v>1</v>
      </c>
      <c r="Q40" s="7">
        <f>(65.571*((R36*NUTRIENTS!F27/100)^0.9116)*(E32^-0.6837))</f>
        <v>1.7408571473086862</v>
      </c>
      <c r="R40" s="7">
        <f>((0.0648363842+(0.0077175108*R37)+(0.4493159021*Q40)-0.0011398976*Q40*R37))</f>
        <v>1.4532339627600226</v>
      </c>
      <c r="S40" s="7">
        <f>(-2.81257905+(0.10290789*R37)+(17.30727206*Q40)-(0.05695999*Q40*R37))</f>
        <v>27.713284321294651</v>
      </c>
      <c r="T40" s="7">
        <f>(-2.930893886+(0.101902312*R37)+(5.654063052*Q40)-(0.0185647*Q40*R37))</f>
        <v>14.269615495543938</v>
      </c>
      <c r="U40" s="12">
        <f>(VLOOKUP(E33,P40:R45,3)/R35)*100</f>
        <v>9.7843901715411512</v>
      </c>
      <c r="V40" s="7"/>
      <c r="W40" s="7"/>
      <c r="X40" s="7"/>
      <c r="Y40" s="7"/>
      <c r="Z40" s="7"/>
      <c r="AA40" s="7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6.5" customHeight="1" x14ac:dyDescent="0.25">
      <c r="A41" s="13"/>
      <c r="B41" s="7"/>
      <c r="C41" s="88" t="s">
        <v>142</v>
      </c>
      <c r="D41" s="7"/>
      <c r="E41" s="7"/>
      <c r="F41" s="7"/>
      <c r="G41" s="7"/>
      <c r="H41" s="7"/>
      <c r="I41" s="7"/>
      <c r="J41" s="7"/>
      <c r="K41" s="3"/>
      <c r="L41" s="3"/>
      <c r="M41" s="3"/>
      <c r="N41" s="3"/>
      <c r="O41" s="7"/>
      <c r="P41" s="7">
        <v>2</v>
      </c>
      <c r="Q41" s="7">
        <f>(45.656*((R36*NUTRIENTS!F27/100)^0.8936)*(E32^-0.6702))</f>
        <v>1.3021682012837454</v>
      </c>
      <c r="R41" s="7">
        <f>(0.060748872+(0.0074760586*R37)+(0.4512513069*Q41)-(0.0014528412*Q41*R37))</f>
        <v>1.2388128203350615</v>
      </c>
      <c r="S41" s="7">
        <f>(-1.95920221+(0.09708573*R37)+(16.82152098*Q41)-(0.07338592*Q41*R37))</f>
        <v>20.106488013197065</v>
      </c>
      <c r="T41" s="7">
        <f>(-2.68927382+(0.101291738*R37)+(5.363091699*Q41)-(0.023151271*Q41*R37))</f>
        <v>11.817029776868004</v>
      </c>
      <c r="U41" s="7"/>
      <c r="V41" s="7"/>
      <c r="W41" s="7"/>
      <c r="X41" s="7"/>
      <c r="Y41" s="7"/>
      <c r="Z41" s="7"/>
      <c r="AA41" s="7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20.25" customHeight="1" x14ac:dyDescent="0.4">
      <c r="A42" s="13"/>
      <c r="B42" s="7"/>
      <c r="C42" s="35" t="s">
        <v>141</v>
      </c>
      <c r="D42" s="18"/>
      <c r="E42" s="18"/>
      <c r="F42" s="18"/>
      <c r="G42" s="18"/>
      <c r="H42" s="18"/>
      <c r="I42" s="19"/>
      <c r="J42" s="19"/>
      <c r="K42" s="223"/>
      <c r="L42" s="3"/>
      <c r="M42" s="3"/>
      <c r="N42" s="3"/>
      <c r="O42" s="7"/>
      <c r="P42" s="7">
        <v>3</v>
      </c>
      <c r="Q42" s="7">
        <f>(58.731*((R36*NUTRIENTS!F27/100)^0.9116)*(E32^-0.6837))</f>
        <v>1.5592606658215746</v>
      </c>
      <c r="R42" s="7">
        <f>(0.0571183744+(0.0077463309*R37)+(0.4530463743*Q42)-(0.001145418*Q42*R37))</f>
        <v>1.3937634737081093</v>
      </c>
      <c r="S42" s="7">
        <f>(-2.44978545+(0.10005902*R37)+(17.03700689*Q42)-(0.06103269*Q42*R37))</f>
        <v>24.632736575720916</v>
      </c>
      <c r="T42" s="7">
        <f>(-2.668259117+(0.10062789*R37)+(5.40209481*Q42)-(0.019063783*Q42*R37))</f>
        <v>13.252039639135514</v>
      </c>
      <c r="U42" s="7"/>
      <c r="V42" s="7"/>
      <c r="W42" s="7"/>
      <c r="X42" s="7"/>
      <c r="Y42" s="7"/>
      <c r="Z42" s="7"/>
      <c r="AA42" s="7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7.25" customHeight="1" x14ac:dyDescent="0.25">
      <c r="B43" s="3"/>
      <c r="C43" s="84" t="s">
        <v>420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/>
      <c r="P43" s="7">
        <v>4</v>
      </c>
      <c r="Q43" s="7">
        <f>(58.731*((R36*NUTRIENTS!F27/100)^0.9116)*(E32^-0.6837))</f>
        <v>1.5592606658215746</v>
      </c>
      <c r="R43" s="7">
        <f>(0.0551610583+(0.0073932524*R37)+(0.4540766813*Q43)-(0.0011534479*Q43*R37))</f>
        <v>1.3547552652217709</v>
      </c>
      <c r="S43" s="7">
        <f>(-2.1723458+(0.09658443*R37)+(16.95791467*Q43)-(0.05961067*Q43*R37))</f>
        <v>24.653908590873424</v>
      </c>
      <c r="T43" s="7">
        <f>(-2.997507158+(0.1023195*R37)+(5.671073347*Q43)-(0.020273104*Q43*R37))</f>
        <v>13.321682371186942</v>
      </c>
      <c r="U43" s="7"/>
      <c r="V43" s="7"/>
      <c r="W43" s="7"/>
      <c r="X43" s="7"/>
      <c r="Y43" s="7"/>
      <c r="Z43" s="7"/>
      <c r="AA43" s="7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2" x14ac:dyDescent="0.25">
      <c r="B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/>
      <c r="P44" s="7">
        <v>5</v>
      </c>
      <c r="Q44" s="7">
        <f>(40.982*((R36*NUTRIENTS!F27/100)^0.8936)*(E32^-0.6702))</f>
        <v>1.1688596728800258</v>
      </c>
      <c r="R44" s="7">
        <f>(0.0501919717+(0.0072736977*R37)+(0.4562704649*Q44)-(0.0017383457*Q44*R37))</f>
        <v>1.137762627296985</v>
      </c>
      <c r="S44" s="7">
        <f>(-3.64265943+(0.11095564*R37)+(17.81234652*Q44)-(0.09033104*Q44*R37))</f>
        <v>17.745423109679951</v>
      </c>
      <c r="T44" s="7">
        <f>(-2.317682841+(0.097613262*R37)+(5.355353117*Q44)-(0.0247888*Q44*R37))</f>
        <v>11.199625297144983</v>
      </c>
      <c r="U44" s="7"/>
      <c r="V44" s="7"/>
      <c r="W44" s="7"/>
      <c r="X44" s="7"/>
      <c r="Y44" s="7"/>
      <c r="Z44" s="7"/>
      <c r="AA44" s="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3.2" x14ac:dyDescent="0.25">
      <c r="B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7"/>
      <c r="P45" s="7">
        <v>6</v>
      </c>
      <c r="Q45" s="7">
        <f>(52.571*((R36*NUTRIENTS!F27/100)^0.9116)*(E32^-0.6837))</f>
        <v>1.3957176357103742</v>
      </c>
      <c r="R45" s="7">
        <f>(0.055700965+(0.0076695031*R37)+(0.4517102228*Q45)-(0.0015022001*Q45*R37))</f>
        <v>1.2754186605555615</v>
      </c>
      <c r="S45" s="7">
        <f>(-2.67532276+(0.10480521*R37)+(17.28677594*Q45)-(0.07230856*Q45*R37))</f>
        <v>21.862699602891652</v>
      </c>
      <c r="T45" s="7">
        <f>(-2.271105704+(0.097540176*R37)+(5.509649699*Q45)-(0.022187902*Q45*R37))</f>
        <v>12.457955255509134</v>
      </c>
      <c r="U45" s="7"/>
      <c r="V45" s="7"/>
      <c r="W45" s="7"/>
      <c r="X45" s="7"/>
      <c r="Y45" s="7"/>
      <c r="Z45" s="7"/>
      <c r="AA45" s="7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3.2" x14ac:dyDescent="0.25">
      <c r="L46" s="6"/>
      <c r="M46" s="6"/>
      <c r="N46" s="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3.2" x14ac:dyDescent="0.25">
      <c r="L47" s="3"/>
      <c r="M47" s="3"/>
      <c r="N47" s="3"/>
      <c r="O47" s="7"/>
      <c r="P47" s="7"/>
      <c r="Q47" s="9" t="s">
        <v>101</v>
      </c>
      <c r="R47" s="9" t="s">
        <v>9</v>
      </c>
      <c r="S47" s="9" t="s">
        <v>10</v>
      </c>
      <c r="T47" s="9" t="s">
        <v>11</v>
      </c>
      <c r="U47" s="9" t="s">
        <v>12</v>
      </c>
      <c r="V47" s="9" t="s">
        <v>13</v>
      </c>
      <c r="W47" s="9" t="s">
        <v>14</v>
      </c>
      <c r="X47" s="9" t="s">
        <v>15</v>
      </c>
      <c r="Y47" s="9" t="s">
        <v>16</v>
      </c>
      <c r="Z47" s="7"/>
      <c r="AA47" s="7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2" x14ac:dyDescent="0.25">
      <c r="L48" s="3"/>
      <c r="M48" s="3"/>
      <c r="N48" s="3"/>
      <c r="O48" s="8" t="s">
        <v>103</v>
      </c>
      <c r="P48" s="7"/>
      <c r="Q48" s="7">
        <v>0.5</v>
      </c>
      <c r="R48" s="7">
        <v>0.05</v>
      </c>
      <c r="S48" s="7">
        <v>0.08</v>
      </c>
      <c r="T48" s="7">
        <v>7.0000000000000007E-2</v>
      </c>
      <c r="U48" s="7">
        <v>4</v>
      </c>
      <c r="V48" s="7">
        <v>50</v>
      </c>
      <c r="W48" s="7">
        <v>20</v>
      </c>
      <c r="X48" s="7">
        <v>0.05</v>
      </c>
      <c r="Y48" s="7">
        <v>20</v>
      </c>
      <c r="Z48" s="8" t="s">
        <v>104</v>
      </c>
      <c r="AA48" s="7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3.2" x14ac:dyDescent="0.25">
      <c r="L49" s="3"/>
      <c r="M49" s="3"/>
      <c r="N49" s="3"/>
      <c r="O49" s="8" t="s">
        <v>105</v>
      </c>
      <c r="P49" s="7"/>
      <c r="Q49" s="7">
        <v>0.8</v>
      </c>
      <c r="R49" s="7">
        <v>0.25</v>
      </c>
      <c r="S49" s="7">
        <v>0.15</v>
      </c>
      <c r="T49" s="7">
        <v>0.11</v>
      </c>
      <c r="U49" s="7">
        <v>10</v>
      </c>
      <c r="V49" s="7">
        <v>100</v>
      </c>
      <c r="W49" s="7">
        <v>50</v>
      </c>
      <c r="X49" s="7">
        <v>0.3</v>
      </c>
      <c r="Y49" s="7">
        <v>40</v>
      </c>
      <c r="Z49" s="8" t="s">
        <v>106</v>
      </c>
      <c r="AA49" s="7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3.2" x14ac:dyDescent="0.25">
      <c r="L50" s="3"/>
      <c r="M50" s="3"/>
      <c r="N50" s="3"/>
      <c r="O50" s="8" t="s">
        <v>107</v>
      </c>
      <c r="P50" s="7"/>
      <c r="Q50" s="7">
        <v>3</v>
      </c>
      <c r="R50" s="7">
        <v>0.4</v>
      </c>
      <c r="S50" s="7">
        <v>0.4</v>
      </c>
      <c r="T50" s="7">
        <v>5</v>
      </c>
      <c r="U50" s="7">
        <v>115</v>
      </c>
      <c r="V50" s="7">
        <v>1000</v>
      </c>
      <c r="W50" s="7">
        <v>1000</v>
      </c>
      <c r="X50" s="7">
        <v>2</v>
      </c>
      <c r="Y50" s="7">
        <v>500</v>
      </c>
      <c r="Z50" s="8" t="s">
        <v>107</v>
      </c>
      <c r="AA50" s="7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3.2" x14ac:dyDescent="0.25">
      <c r="L51" s="3"/>
      <c r="M51" s="3"/>
      <c r="N51" s="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3.2" x14ac:dyDescent="0.25">
      <c r="L52" s="3"/>
      <c r="M52" s="3"/>
      <c r="N52" s="3"/>
      <c r="O52" s="7"/>
      <c r="P52" s="7">
        <v>1</v>
      </c>
      <c r="Q52" s="8" t="s">
        <v>108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3.2" x14ac:dyDescent="0.25">
      <c r="L53" s="3"/>
      <c r="M53" s="3"/>
      <c r="N53" s="3"/>
      <c r="O53" s="7"/>
      <c r="P53" s="7">
        <v>2</v>
      </c>
      <c r="Q53" s="8" t="s">
        <v>109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3.2" x14ac:dyDescent="0.25">
      <c r="L54" s="3"/>
      <c r="M54" s="3"/>
      <c r="N54" s="3"/>
      <c r="O54" s="7"/>
      <c r="P54" s="7">
        <v>3</v>
      </c>
      <c r="Q54" s="8" t="s">
        <v>110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3.2" x14ac:dyDescent="0.25">
      <c r="C55" s="3"/>
      <c r="D55" s="3"/>
      <c r="E55" s="3"/>
      <c r="F55" s="3"/>
      <c r="G55" s="3"/>
      <c r="L55" s="3"/>
      <c r="M55" s="3"/>
      <c r="N55" s="3"/>
      <c r="O55" s="7"/>
      <c r="P55" s="7">
        <v>4</v>
      </c>
      <c r="Q55" s="8" t="s">
        <v>111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3.2" x14ac:dyDescent="0.25">
      <c r="L56" s="3"/>
      <c r="M56" s="3"/>
      <c r="N56" s="3"/>
      <c r="O56" s="7"/>
      <c r="P56" s="7">
        <v>5</v>
      </c>
      <c r="Q56" s="8" t="s">
        <v>112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3.2" x14ac:dyDescent="0.25">
      <c r="L57" s="3"/>
      <c r="M57" s="3"/>
      <c r="N57" s="3"/>
      <c r="O57" s="7"/>
      <c r="P57" s="7">
        <v>6</v>
      </c>
      <c r="Q57" s="8" t="s">
        <v>113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3.2" x14ac:dyDescent="0.25">
      <c r="L58" s="3"/>
      <c r="M58" s="3"/>
      <c r="N58" s="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3.2" x14ac:dyDescent="0.25">
      <c r="I59" s="3"/>
      <c r="J59" s="3"/>
      <c r="K59" s="3"/>
      <c r="L59" s="3"/>
      <c r="M59" s="3"/>
      <c r="N59" s="3"/>
      <c r="O59" s="7"/>
      <c r="P59" s="7"/>
      <c r="Q59" s="8" t="s">
        <v>104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3.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N60" s="3"/>
      <c r="O60" s="3"/>
      <c r="P60" s="3"/>
      <c r="Q60" s="2" t="s">
        <v>102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3.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3.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3.2" x14ac:dyDescent="0.25">
      <c r="B63" s="3"/>
      <c r="L63" s="3"/>
      <c r="M63" s="3"/>
      <c r="N63" s="3"/>
      <c r="O63" s="3"/>
      <c r="P63" s="3">
        <v>1</v>
      </c>
      <c r="Q63" s="3" t="s">
        <v>428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3.2" x14ac:dyDescent="0.25">
      <c r="B64" s="3"/>
      <c r="L64" s="3"/>
      <c r="M64" s="3"/>
      <c r="N64" s="3"/>
      <c r="O64" s="3"/>
      <c r="P64" s="3">
        <v>2</v>
      </c>
      <c r="Q64" s="3" t="s">
        <v>429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3.2" x14ac:dyDescent="0.25">
      <c r="B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3.2" x14ac:dyDescent="0.25">
      <c r="B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3.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3.2" x14ac:dyDescent="0.25">
      <c r="B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3.2" x14ac:dyDescent="0.25">
      <c r="B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3.2" x14ac:dyDescent="0.2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3.2" x14ac:dyDescent="0.25">
      <c r="C71" s="3"/>
      <c r="D71" s="3"/>
      <c r="E71" s="211"/>
      <c r="F71" s="211"/>
      <c r="G71" s="211"/>
      <c r="H71" s="211"/>
      <c r="I71" s="211"/>
      <c r="J71" s="211"/>
      <c r="K71" s="21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3.2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3.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3.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3.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3.2" x14ac:dyDescent="0.25">
      <c r="B76" s="3"/>
      <c r="L76" s="3"/>
      <c r="M76" s="3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3.2" x14ac:dyDescent="0.25">
      <c r="B77" s="3"/>
      <c r="L77" s="3"/>
      <c r="M77" s="3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3.2" x14ac:dyDescent="0.25">
      <c r="B78" s="3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3.2" x14ac:dyDescent="0.25">
      <c r="B79" s="3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3.2" x14ac:dyDescent="0.25">
      <c r="B80" s="3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3.2" x14ac:dyDescent="0.25">
      <c r="B81" s="3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3.2" x14ac:dyDescent="0.25">
      <c r="B82" s="3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3.2" x14ac:dyDescent="0.25">
      <c r="B83" s="3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3.2" x14ac:dyDescent="0.25">
      <c r="B84" s="3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3.2" x14ac:dyDescent="0.25">
      <c r="B85" s="3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3.2" x14ac:dyDescent="0.25">
      <c r="B86" s="3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3.2" x14ac:dyDescent="0.25">
      <c r="B87" s="3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3.2" x14ac:dyDescent="0.25">
      <c r="B88" s="3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3.2" x14ac:dyDescent="0.25">
      <c r="B89" s="3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>
        <v>79</v>
      </c>
      <c r="AS89" s="3"/>
    </row>
    <row r="90" spans="2:45" ht="13.2" x14ac:dyDescent="0.25">
      <c r="B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3.2" x14ac:dyDescent="0.25">
      <c r="B91" s="3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3.2" x14ac:dyDescent="0.25">
      <c r="B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3.2" x14ac:dyDescent="0.25">
      <c r="B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3.2" x14ac:dyDescent="0.25">
      <c r="B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3.2" x14ac:dyDescent="0.25">
      <c r="B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3.2" x14ac:dyDescent="0.25">
      <c r="B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3.2" x14ac:dyDescent="0.25">
      <c r="B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3.2" x14ac:dyDescent="0.25">
      <c r="B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3.2" x14ac:dyDescent="0.25">
      <c r="B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29" spans="2:2" x14ac:dyDescent="0.2">
      <c r="B129" s="1"/>
    </row>
    <row r="131" spans="2:2" x14ac:dyDescent="0.2">
      <c r="B131" s="1"/>
    </row>
    <row r="133" spans="2:2" x14ac:dyDescent="0.2">
      <c r="B133" s="1"/>
    </row>
    <row r="135" spans="2:2" x14ac:dyDescent="0.2">
      <c r="B135" s="1"/>
    </row>
    <row r="65535" ht="38.25" customHeight="1" x14ac:dyDescent="0.2"/>
  </sheetData>
  <sheetProtection algorithmName="SHA-512" hashValue="Hv51Xj9rMp5l2rFPy2v1nmy7iPXqMn5+JonkLQZje9cz5LJdOMkmDmckvNsW7qIj/x7Pas6OQg8nEgeVla62Ow==" saltValue="u5gZMgRbnus+7mqEKg7QlA==" spinCount="100000" sheet="1" objects="1" scenarios="1" selectLockedCells="1"/>
  <mergeCells count="2">
    <mergeCell ref="B2:K2"/>
    <mergeCell ref="E4:F4"/>
  </mergeCells>
  <phoneticPr fontId="0" type="noConversion"/>
  <conditionalFormatting sqref="K16:L16">
    <cfRule type="cellIs" dxfId="28" priority="4" stopIfTrue="1" operator="greaterThan">
      <formula>"C34"</formula>
    </cfRule>
  </conditionalFormatting>
  <conditionalFormatting sqref="K18">
    <cfRule type="cellIs" dxfId="27" priority="5" stopIfTrue="1" operator="greaterThan">
      <formula>"c36"</formula>
    </cfRule>
  </conditionalFormatting>
  <conditionalFormatting sqref="I50">
    <cfRule type="cellIs" dxfId="26" priority="6" stopIfTrue="1" operator="greaterThan">
      <formula>"c43"</formula>
    </cfRule>
  </conditionalFormatting>
  <conditionalFormatting sqref="I21">
    <cfRule type="cellIs" dxfId="25" priority="7" stopIfTrue="1" operator="lessThan">
      <formula>0.079</formula>
    </cfRule>
    <cfRule type="cellIs" dxfId="24" priority="8" stopIfTrue="1" operator="between">
      <formula>0.151</formula>
      <formula>0.4</formula>
    </cfRule>
    <cfRule type="cellIs" dxfId="23" priority="9" stopIfTrue="1" operator="greaterThan">
      <formula>0.401</formula>
    </cfRule>
  </conditionalFormatting>
  <conditionalFormatting sqref="I17">
    <cfRule type="cellIs" dxfId="22" priority="10" stopIfTrue="1" operator="lessThan">
      <formula>0.45</formula>
    </cfRule>
    <cfRule type="cellIs" dxfId="21" priority="11" stopIfTrue="1" operator="greaterThan">
      <formula>1.5</formula>
    </cfRule>
  </conditionalFormatting>
  <conditionalFormatting sqref="I20">
    <cfRule type="cellIs" dxfId="20" priority="12" stopIfTrue="1" operator="lessThan">
      <formula>0.049</formula>
    </cfRule>
    <cfRule type="cellIs" dxfId="19" priority="13" stopIfTrue="1" operator="greaterThan">
      <formula>0.401</formula>
    </cfRule>
  </conditionalFormatting>
  <conditionalFormatting sqref="I22">
    <cfRule type="cellIs" dxfId="18" priority="14" stopIfTrue="1" operator="lessThan">
      <formula>0.0699</formula>
    </cfRule>
    <cfRule type="cellIs" dxfId="17" priority="15" stopIfTrue="1" operator="greaterThan">
      <formula>0.5001</formula>
    </cfRule>
  </conditionalFormatting>
  <conditionalFormatting sqref="I26">
    <cfRule type="cellIs" dxfId="16" priority="16" stopIfTrue="1" operator="lessThan">
      <formula>0.05</formula>
    </cfRule>
    <cfRule type="cellIs" dxfId="15" priority="17" stopIfTrue="1" operator="between">
      <formula>0.21</formula>
      <formula>1.99</formula>
    </cfRule>
    <cfRule type="cellIs" dxfId="14" priority="18" stopIfTrue="1" operator="greaterThan">
      <formula>2</formula>
    </cfRule>
  </conditionalFormatting>
  <conditionalFormatting sqref="I23">
    <cfRule type="cellIs" dxfId="13" priority="19" stopIfTrue="1" operator="lessThan">
      <formula>4</formula>
    </cfRule>
    <cfRule type="cellIs" dxfId="12" priority="20" stopIfTrue="1" operator="between">
      <formula>14</formula>
      <formula>114.9</formula>
    </cfRule>
    <cfRule type="cellIs" dxfId="11" priority="21" stopIfTrue="1" operator="greaterThan">
      <formula>115</formula>
    </cfRule>
  </conditionalFormatting>
  <conditionalFormatting sqref="I18">
    <cfRule type="cellIs" dxfId="10" priority="22" stopIfTrue="1" operator="lessThan">
      <formula>$J$18</formula>
    </cfRule>
  </conditionalFormatting>
  <conditionalFormatting sqref="I19">
    <cfRule type="cellIs" dxfId="9" priority="23" stopIfTrue="1" operator="lessThan">
      <formula>$J$19</formula>
    </cfRule>
  </conditionalFormatting>
  <conditionalFormatting sqref="I16">
    <cfRule type="cellIs" dxfId="8" priority="24" stopIfTrue="1" operator="lessThan">
      <formula>$AP$13</formula>
    </cfRule>
  </conditionalFormatting>
  <conditionalFormatting sqref="I25">
    <cfRule type="cellIs" dxfId="7" priority="25" stopIfTrue="1" operator="lessThan">
      <formula>20</formula>
    </cfRule>
  </conditionalFormatting>
  <conditionalFormatting sqref="I27">
    <cfRule type="cellIs" dxfId="6" priority="26" stopIfTrue="1" operator="lessThan">
      <formula>20</formula>
    </cfRule>
    <cfRule type="cellIs" dxfId="5" priority="27" stopIfTrue="1" operator="greaterThan">
      <formula>500</formula>
    </cfRule>
  </conditionalFormatting>
  <conditionalFormatting sqref="K19:L19">
    <cfRule type="cellIs" dxfId="4" priority="28" stopIfTrue="1" operator="greaterThan">
      <formula>"c37"</formula>
    </cfRule>
  </conditionalFormatting>
  <conditionalFormatting sqref="K16:K27">
    <cfRule type="containsText" dxfId="3" priority="1" stopIfTrue="1" operator="containsText" text="DEFICIENT">
      <formula>NOT(ISERROR(SEARCH("DEFICIENT",K16)))</formula>
    </cfRule>
    <cfRule type="cellIs" dxfId="2" priority="2" stopIfTrue="1" operator="equal">
      <formula>"EXCESSIVE"</formula>
    </cfRule>
    <cfRule type="containsText" dxfId="1" priority="3" stopIfTrue="1" operator="containsText" text="ADEQUATE">
      <formula>NOT(ISERROR(SEARCH("ADEQUATE",K16)))</formula>
    </cfRule>
  </conditionalFormatting>
  <dataValidations count="2">
    <dataValidation type="list" allowBlank="1" showInputMessage="1" showErrorMessage="1" sqref="E4">
      <formula1>$P$15:$P$16</formula1>
    </dataValidation>
    <dataValidation type="list" allowBlank="1" showInputMessage="1" showErrorMessage="1" prompt="1 = Calf_x000a_2 = Yearling" sqref="E34">
      <formula1>$P$63:$P$64</formula1>
    </dataValidation>
  </dataValidations>
  <printOptions gridLinesSet="0"/>
  <pageMargins left="0.75" right="0.33" top="0.45" bottom="0.61" header="0.43" footer="0.5"/>
  <pageSetup scale="87" orientation="landscape" horizontalDpi="300" verticalDpi="300" r:id="rId1"/>
  <headerFooter alignWithMargins="0"/>
  <ignoredErrors>
    <ignoredError sqref="E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Y65536"/>
  <sheetViews>
    <sheetView zoomScaleNormal="100" workbookViewId="0">
      <pane xSplit="2" ySplit="2" topLeftCell="C246" activePane="bottomRight" state="frozen"/>
      <selection pane="topRight" activeCell="C1" sqref="C1"/>
      <selection pane="bottomLeft" activeCell="A3" sqref="A3"/>
      <selection pane="bottomRight" activeCell="C254" sqref="C254"/>
    </sheetView>
  </sheetViews>
  <sheetFormatPr defaultColWidth="0" defaultRowHeight="12" x14ac:dyDescent="0.2"/>
  <cols>
    <col min="1" max="1" width="5.77734375" style="91" customWidth="1"/>
    <col min="2" max="2" width="26.88671875" style="91" customWidth="1"/>
    <col min="3" max="3" width="7.88671875" style="92" customWidth="1"/>
    <col min="4" max="4" width="7.44140625" style="91" customWidth="1"/>
    <col min="5" max="5" width="9.6640625" style="91" customWidth="1"/>
    <col min="6" max="6" width="9.33203125" style="91" customWidth="1"/>
    <col min="7" max="7" width="7.77734375" style="91" customWidth="1"/>
    <col min="8" max="9" width="6.44140625" style="91" customWidth="1"/>
    <col min="10" max="10" width="7.109375" style="91" customWidth="1"/>
    <col min="11" max="11" width="7.88671875" style="236" hidden="1" customWidth="1"/>
    <col min="12" max="12" width="7.109375" style="91" customWidth="1"/>
    <col min="13" max="13" width="5.44140625" style="91" customWidth="1"/>
    <col min="14" max="14" width="9.44140625" style="91" customWidth="1"/>
    <col min="15" max="17" width="8.33203125" style="91" customWidth="1"/>
    <col min="18" max="18" width="6.33203125" style="91" customWidth="1"/>
    <col min="19" max="19" width="8.88671875" style="91" customWidth="1"/>
    <col min="20" max="20" width="7.6640625" style="91" customWidth="1"/>
    <col min="21" max="21" width="7.33203125" style="91" customWidth="1"/>
    <col min="22" max="22" width="8.109375" style="91" customWidth="1"/>
    <col min="23" max="23" width="7" style="91" customWidth="1"/>
    <col min="24" max="24" width="8.33203125" style="91" customWidth="1"/>
    <col min="25" max="25" width="7.109375" style="91" customWidth="1"/>
    <col min="26" max="16384" width="9" hidden="1"/>
  </cols>
  <sheetData>
    <row r="1" spans="1:25" s="198" customFormat="1" ht="47.25" customHeight="1" x14ac:dyDescent="0.3">
      <c r="A1" s="34"/>
      <c r="B1" s="176" t="s">
        <v>0</v>
      </c>
      <c r="C1" s="177" t="s">
        <v>160</v>
      </c>
      <c r="D1" s="178" t="s">
        <v>1</v>
      </c>
      <c r="E1" s="196" t="s">
        <v>164</v>
      </c>
      <c r="F1" s="196" t="s">
        <v>165</v>
      </c>
      <c r="G1" s="196" t="s">
        <v>166</v>
      </c>
      <c r="H1" s="196" t="s">
        <v>5</v>
      </c>
      <c r="I1" s="196" t="s">
        <v>6</v>
      </c>
      <c r="J1" s="196" t="s">
        <v>167</v>
      </c>
      <c r="K1" s="177" t="s">
        <v>148</v>
      </c>
      <c r="L1" s="177" t="s">
        <v>168</v>
      </c>
      <c r="M1" s="177" t="s">
        <v>169</v>
      </c>
      <c r="N1" s="177" t="s">
        <v>170</v>
      </c>
      <c r="O1" s="177" t="s">
        <v>171</v>
      </c>
      <c r="P1" s="177" t="s">
        <v>172</v>
      </c>
      <c r="Q1" s="177" t="s">
        <v>173</v>
      </c>
      <c r="R1" s="177" t="s">
        <v>174</v>
      </c>
      <c r="S1" s="177" t="s">
        <v>175</v>
      </c>
      <c r="T1" s="196" t="s">
        <v>17</v>
      </c>
      <c r="U1" s="177" t="s">
        <v>176</v>
      </c>
      <c r="V1" s="177" t="s">
        <v>177</v>
      </c>
      <c r="W1" s="197" t="s">
        <v>178</v>
      </c>
      <c r="X1" s="197" t="s">
        <v>179</v>
      </c>
      <c r="Y1" s="197" t="s">
        <v>180</v>
      </c>
    </row>
    <row r="2" spans="1:25" ht="1.5" customHeight="1" x14ac:dyDescent="0.25">
      <c r="A2" s="179">
        <v>0</v>
      </c>
      <c r="B2" s="180"/>
      <c r="C2" s="181"/>
      <c r="D2" s="34"/>
      <c r="E2" s="34"/>
      <c r="F2" s="34"/>
      <c r="G2" s="34"/>
      <c r="H2" s="34"/>
      <c r="I2" s="34"/>
      <c r="J2" s="34"/>
      <c r="K2" s="2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04"/>
      <c r="X2" s="104"/>
      <c r="Y2" s="104"/>
    </row>
    <row r="3" spans="1:25" s="230" customFormat="1" ht="15.6" x14ac:dyDescent="0.3">
      <c r="A3" s="200" t="s">
        <v>181</v>
      </c>
      <c r="B3" s="228"/>
      <c r="C3" s="224"/>
      <c r="D3" s="229"/>
      <c r="E3" s="229"/>
      <c r="F3" s="229"/>
      <c r="G3" s="229"/>
      <c r="H3" s="229"/>
      <c r="I3" s="229"/>
      <c r="J3" s="229"/>
      <c r="K3" s="235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1:25" s="230" customFormat="1" ht="15.6" x14ac:dyDescent="0.3">
      <c r="A4" s="201">
        <v>1</v>
      </c>
      <c r="B4" s="204" t="s">
        <v>182</v>
      </c>
      <c r="C4" s="225"/>
      <c r="D4" s="207">
        <v>90.978999999999999</v>
      </c>
      <c r="E4" s="207">
        <v>52.2</v>
      </c>
      <c r="F4" s="229">
        <v>26.700000000000003</v>
      </c>
      <c r="G4" s="229">
        <v>18.47</v>
      </c>
      <c r="H4" s="229">
        <v>2.25</v>
      </c>
      <c r="I4" s="229">
        <v>1.5169999999999999</v>
      </c>
      <c r="J4" s="229">
        <v>0.24</v>
      </c>
      <c r="K4" s="235">
        <f>C4</f>
        <v>0</v>
      </c>
      <c r="L4" s="229">
        <v>0.28499999999999998</v>
      </c>
      <c r="M4" s="229">
        <v>0.25800000000000001</v>
      </c>
      <c r="N4" s="229">
        <v>0.499</v>
      </c>
      <c r="O4" s="229">
        <v>9.2159999999999993</v>
      </c>
      <c r="P4" s="229">
        <v>904.75400000000002</v>
      </c>
      <c r="Q4" s="229">
        <v>46.472999999999999</v>
      </c>
      <c r="R4" s="231"/>
      <c r="S4" s="229">
        <v>23.978000000000002</v>
      </c>
      <c r="T4" s="229">
        <v>56.685000000000002</v>
      </c>
      <c r="U4" s="229">
        <v>2.286</v>
      </c>
      <c r="V4" s="229">
        <v>25.036000000000001</v>
      </c>
      <c r="W4" s="229">
        <v>34.293999999999997</v>
      </c>
      <c r="X4" s="229">
        <v>44.206000000000003</v>
      </c>
      <c r="Y4" s="231"/>
    </row>
    <row r="5" spans="1:25" s="230" customFormat="1" ht="15.6" x14ac:dyDescent="0.3">
      <c r="A5" s="202">
        <v>2</v>
      </c>
      <c r="B5" s="203" t="s">
        <v>183</v>
      </c>
      <c r="C5" s="226"/>
      <c r="D5" s="207">
        <v>88</v>
      </c>
      <c r="E5" s="207">
        <v>66.010000000000005</v>
      </c>
      <c r="F5" s="207">
        <v>37.72</v>
      </c>
      <c r="G5" s="207">
        <v>20</v>
      </c>
      <c r="H5" s="207">
        <v>2.71</v>
      </c>
      <c r="I5" s="207">
        <v>1.56</v>
      </c>
      <c r="J5" s="207">
        <v>0.3</v>
      </c>
      <c r="K5" s="235">
        <f t="shared" ref="K5:K68" si="0">C5</f>
        <v>0</v>
      </c>
      <c r="L5" s="207">
        <v>0.35</v>
      </c>
      <c r="M5" s="207">
        <v>0.41</v>
      </c>
      <c r="N5" s="207">
        <v>0.17</v>
      </c>
      <c r="O5" s="207">
        <v>9</v>
      </c>
      <c r="P5" s="207">
        <v>119</v>
      </c>
      <c r="Q5" s="207">
        <v>41</v>
      </c>
      <c r="R5" s="207">
        <v>0.28000000000000003</v>
      </c>
      <c r="S5" s="207">
        <v>24</v>
      </c>
      <c r="T5" s="207">
        <v>63</v>
      </c>
      <c r="U5" s="207">
        <v>3</v>
      </c>
      <c r="V5" s="207">
        <v>23</v>
      </c>
      <c r="W5" s="207">
        <v>34</v>
      </c>
      <c r="X5" s="207">
        <v>45</v>
      </c>
      <c r="Y5" s="207">
        <v>92</v>
      </c>
    </row>
    <row r="6" spans="1:25" s="230" customFormat="1" ht="15.6" x14ac:dyDescent="0.3">
      <c r="A6" s="202">
        <v>3</v>
      </c>
      <c r="B6" s="203" t="s">
        <v>184</v>
      </c>
      <c r="C6" s="226">
        <v>7.5</v>
      </c>
      <c r="D6" s="207">
        <v>88</v>
      </c>
      <c r="E6" s="207">
        <v>56</v>
      </c>
      <c r="F6" s="207">
        <v>30.91</v>
      </c>
      <c r="G6" s="207">
        <v>18.3</v>
      </c>
      <c r="H6" s="207">
        <v>2.06</v>
      </c>
      <c r="I6" s="207">
        <v>1.5</v>
      </c>
      <c r="J6" s="207">
        <v>0.27</v>
      </c>
      <c r="K6" s="235">
        <f t="shared" si="0"/>
        <v>7.5</v>
      </c>
      <c r="L6" s="207">
        <v>0.33</v>
      </c>
      <c r="M6" s="207">
        <v>0.28000000000000003</v>
      </c>
      <c r="N6" s="207">
        <v>0.15</v>
      </c>
      <c r="O6" s="207">
        <v>11</v>
      </c>
      <c r="P6" s="207">
        <v>127</v>
      </c>
      <c r="Q6" s="207">
        <v>42</v>
      </c>
      <c r="R6" s="207">
        <v>0.28000000000000003</v>
      </c>
      <c r="S6" s="207">
        <v>25</v>
      </c>
      <c r="T6" s="207">
        <v>58</v>
      </c>
      <c r="U6" s="207">
        <v>1.8</v>
      </c>
      <c r="V6" s="207">
        <v>32</v>
      </c>
      <c r="W6" s="207">
        <v>35</v>
      </c>
      <c r="X6" s="207">
        <v>45</v>
      </c>
      <c r="Y6" s="207">
        <v>93</v>
      </c>
    </row>
    <row r="7" spans="1:25" s="230" customFormat="1" ht="15.6" x14ac:dyDescent="0.3">
      <c r="A7" s="201">
        <v>4</v>
      </c>
      <c r="B7" s="203" t="s">
        <v>185</v>
      </c>
      <c r="C7" s="226"/>
      <c r="D7" s="207">
        <v>88</v>
      </c>
      <c r="E7" s="207">
        <v>59.54</v>
      </c>
      <c r="F7" s="207">
        <v>33.630000000000003</v>
      </c>
      <c r="G7" s="207">
        <v>19</v>
      </c>
      <c r="H7" s="207">
        <v>1.92</v>
      </c>
      <c r="I7" s="207">
        <v>1.89</v>
      </c>
      <c r="J7" s="207">
        <v>0.28999999999999998</v>
      </c>
      <c r="K7" s="235">
        <f t="shared" si="0"/>
        <v>0</v>
      </c>
      <c r="L7" s="207">
        <v>0.35</v>
      </c>
      <c r="M7" s="207">
        <v>0.36</v>
      </c>
      <c r="N7" s="207">
        <v>0.16</v>
      </c>
      <c r="O7" s="207">
        <v>10</v>
      </c>
      <c r="P7" s="207">
        <v>112</v>
      </c>
      <c r="Q7" s="207">
        <v>41</v>
      </c>
      <c r="R7" s="207">
        <v>0.28000000000000003</v>
      </c>
      <c r="S7" s="207">
        <v>27</v>
      </c>
      <c r="T7" s="207">
        <v>60</v>
      </c>
      <c r="U7" s="207">
        <v>2.6</v>
      </c>
      <c r="V7" s="207">
        <v>26</v>
      </c>
      <c r="W7" s="207">
        <v>34</v>
      </c>
      <c r="X7" s="207">
        <v>46</v>
      </c>
      <c r="Y7" s="207">
        <v>92</v>
      </c>
    </row>
    <row r="8" spans="1:25" s="230" customFormat="1" ht="15.6" x14ac:dyDescent="0.3">
      <c r="A8" s="202">
        <v>5</v>
      </c>
      <c r="B8" s="203" t="s">
        <v>186</v>
      </c>
      <c r="C8" s="226"/>
      <c r="D8" s="207">
        <v>88</v>
      </c>
      <c r="E8" s="207">
        <v>47</v>
      </c>
      <c r="F8" s="207">
        <v>22.27</v>
      </c>
      <c r="G8" s="207">
        <v>14</v>
      </c>
      <c r="H8" s="207">
        <v>2.15</v>
      </c>
      <c r="I8" s="207">
        <v>1.52</v>
      </c>
      <c r="J8" s="207">
        <v>0.26</v>
      </c>
      <c r="K8" s="235">
        <f t="shared" si="0"/>
        <v>0</v>
      </c>
      <c r="L8" s="207">
        <v>0.32</v>
      </c>
      <c r="M8" s="207">
        <v>0.28000000000000003</v>
      </c>
      <c r="N8" s="207">
        <v>0.16</v>
      </c>
      <c r="O8" s="207">
        <v>10</v>
      </c>
      <c r="P8" s="207">
        <v>135</v>
      </c>
      <c r="Q8" s="207">
        <v>44</v>
      </c>
      <c r="R8" s="207">
        <v>0.28000000000000003</v>
      </c>
      <c r="S8" s="207">
        <v>21</v>
      </c>
      <c r="T8" s="207">
        <v>52</v>
      </c>
      <c r="U8" s="207">
        <v>1.3</v>
      </c>
      <c r="V8" s="207">
        <v>36</v>
      </c>
      <c r="W8" s="207">
        <v>36</v>
      </c>
      <c r="X8" s="207">
        <v>47</v>
      </c>
      <c r="Y8" s="207">
        <v>92</v>
      </c>
    </row>
    <row r="9" spans="1:25" s="230" customFormat="1" ht="15.6" x14ac:dyDescent="0.3">
      <c r="A9" s="202">
        <v>6</v>
      </c>
      <c r="B9" s="204" t="s">
        <v>32</v>
      </c>
      <c r="C9" s="225"/>
      <c r="D9" s="207">
        <v>91.031999999999996</v>
      </c>
      <c r="E9" s="207">
        <v>52.900000000000006</v>
      </c>
      <c r="F9" s="229">
        <v>27.400000000000002</v>
      </c>
      <c r="G9" s="229">
        <v>18.456</v>
      </c>
      <c r="H9" s="229">
        <v>2.266</v>
      </c>
      <c r="I9" s="229">
        <v>1.4710000000000001</v>
      </c>
      <c r="J9" s="229">
        <v>0.28199999999999997</v>
      </c>
      <c r="K9" s="235">
        <f t="shared" si="0"/>
        <v>0</v>
      </c>
      <c r="L9" s="229">
        <v>0.29299999999999998</v>
      </c>
      <c r="M9" s="229">
        <v>0.25</v>
      </c>
      <c r="N9" s="229">
        <v>2.7490000000000001</v>
      </c>
      <c r="O9" s="229">
        <v>10.994</v>
      </c>
      <c r="P9" s="229">
        <v>730.89300000000003</v>
      </c>
      <c r="Q9" s="229">
        <v>57.588000000000001</v>
      </c>
      <c r="R9" s="231"/>
      <c r="S9" s="229">
        <v>35.234999999999999</v>
      </c>
      <c r="T9" s="229">
        <v>57.332000000000001</v>
      </c>
      <c r="U9" s="229">
        <v>2.4369999999999998</v>
      </c>
      <c r="V9" s="229">
        <v>27.146000000000001</v>
      </c>
      <c r="W9" s="229">
        <v>34.444000000000003</v>
      </c>
      <c r="X9" s="229">
        <v>45.677</v>
      </c>
      <c r="Y9" s="231"/>
    </row>
    <row r="10" spans="1:25" s="230" customFormat="1" ht="15.6" x14ac:dyDescent="0.3">
      <c r="A10" s="201">
        <v>7</v>
      </c>
      <c r="B10" s="204" t="s">
        <v>187</v>
      </c>
      <c r="C10" s="225"/>
      <c r="D10" s="207">
        <v>91.352000000000004</v>
      </c>
      <c r="E10" s="207">
        <v>53.5</v>
      </c>
      <c r="F10" s="229">
        <v>28.000000000000004</v>
      </c>
      <c r="G10" s="229">
        <v>9.7669999999999995</v>
      </c>
      <c r="H10" s="229">
        <v>1.9259999999999999</v>
      </c>
      <c r="I10" s="229">
        <v>0.36</v>
      </c>
      <c r="J10" s="229">
        <v>0.218</v>
      </c>
      <c r="K10" s="235">
        <f t="shared" si="0"/>
        <v>0</v>
      </c>
      <c r="L10" s="229">
        <v>0.158</v>
      </c>
      <c r="M10" s="229">
        <v>0.157</v>
      </c>
      <c r="N10" s="229">
        <v>1.038</v>
      </c>
      <c r="O10" s="229">
        <v>7.55</v>
      </c>
      <c r="P10" s="229">
        <v>303.00700000000001</v>
      </c>
      <c r="Q10" s="229">
        <v>36.106000000000002</v>
      </c>
      <c r="R10" s="231"/>
      <c r="S10" s="229">
        <v>21.977</v>
      </c>
      <c r="T10" s="229">
        <v>58.887999999999998</v>
      </c>
      <c r="U10" s="229">
        <v>2.032</v>
      </c>
      <c r="V10" s="229">
        <v>31.68</v>
      </c>
      <c r="W10" s="229">
        <v>36.761000000000003</v>
      </c>
      <c r="X10" s="229">
        <v>58.026000000000003</v>
      </c>
      <c r="Y10" s="231"/>
    </row>
    <row r="11" spans="1:25" s="230" customFormat="1" ht="15.6" x14ac:dyDescent="0.3">
      <c r="A11" s="202">
        <v>8</v>
      </c>
      <c r="B11" s="203" t="s">
        <v>188</v>
      </c>
      <c r="C11" s="226"/>
      <c r="D11" s="207">
        <v>88</v>
      </c>
      <c r="E11" s="207">
        <v>42.27</v>
      </c>
      <c r="F11" s="207">
        <v>17.72</v>
      </c>
      <c r="G11" s="207">
        <v>6</v>
      </c>
      <c r="H11" s="207">
        <v>1.55</v>
      </c>
      <c r="I11" s="207">
        <v>0.51</v>
      </c>
      <c r="J11" s="207">
        <v>0.24</v>
      </c>
      <c r="K11" s="235">
        <f t="shared" si="0"/>
        <v>0</v>
      </c>
      <c r="L11" s="207">
        <v>0.22</v>
      </c>
      <c r="M11" s="207">
        <v>0.21</v>
      </c>
      <c r="N11" s="207">
        <v>0.12</v>
      </c>
      <c r="O11" s="207">
        <v>6</v>
      </c>
      <c r="P11" s="207">
        <v>125</v>
      </c>
      <c r="Q11" s="207">
        <v>145</v>
      </c>
      <c r="R11" s="207">
        <v>0.05</v>
      </c>
      <c r="S11" s="207">
        <v>17</v>
      </c>
      <c r="T11" s="207">
        <v>49</v>
      </c>
      <c r="U11" s="207">
        <v>3.8</v>
      </c>
      <c r="V11" s="207">
        <v>28.4</v>
      </c>
      <c r="W11" s="207">
        <v>39</v>
      </c>
      <c r="X11" s="207">
        <v>78</v>
      </c>
      <c r="Y11" s="207">
        <v>98</v>
      </c>
    </row>
    <row r="12" spans="1:25" s="230" customFormat="1" ht="15.6" x14ac:dyDescent="0.3">
      <c r="A12" s="202">
        <v>9</v>
      </c>
      <c r="B12" s="204" t="s">
        <v>189</v>
      </c>
      <c r="C12" s="225"/>
      <c r="D12" s="207">
        <v>93.141999999999996</v>
      </c>
      <c r="E12" s="207">
        <v>47.4</v>
      </c>
      <c r="F12" s="229">
        <v>22.400000000000002</v>
      </c>
      <c r="G12" s="229">
        <v>10.693</v>
      </c>
      <c r="H12" s="229">
        <v>1.68</v>
      </c>
      <c r="I12" s="229">
        <v>0.49299999999999999</v>
      </c>
      <c r="J12" s="229">
        <v>0.19700000000000001</v>
      </c>
      <c r="K12" s="235">
        <f t="shared" si="0"/>
        <v>0</v>
      </c>
      <c r="L12" s="229">
        <v>0.19900000000000001</v>
      </c>
      <c r="M12" s="229">
        <v>0.38700000000000001</v>
      </c>
      <c r="N12" s="229">
        <v>0.53200000000000003</v>
      </c>
      <c r="O12" s="229">
        <v>10.02</v>
      </c>
      <c r="P12" s="229">
        <v>250.03899999999999</v>
      </c>
      <c r="Q12" s="229">
        <v>67.040999999999997</v>
      </c>
      <c r="R12" s="207">
        <v>0.12</v>
      </c>
      <c r="S12" s="229">
        <v>31.648</v>
      </c>
      <c r="T12" s="229">
        <v>55.584000000000003</v>
      </c>
      <c r="U12" s="229">
        <v>1.849</v>
      </c>
      <c r="V12" s="229">
        <v>28.861000000000001</v>
      </c>
      <c r="W12" s="229">
        <v>35.572000000000003</v>
      </c>
      <c r="X12" s="229">
        <v>67.051000000000002</v>
      </c>
      <c r="Y12" s="207">
        <v>98</v>
      </c>
    </row>
    <row r="13" spans="1:25" s="230" customFormat="1" ht="15.6" x14ac:dyDescent="0.3">
      <c r="A13" s="201">
        <v>10</v>
      </c>
      <c r="B13" s="204" t="s">
        <v>190</v>
      </c>
      <c r="C13" s="226"/>
      <c r="D13" s="207">
        <v>85</v>
      </c>
      <c r="E13" s="207">
        <v>44</v>
      </c>
      <c r="F13" s="207">
        <v>19</v>
      </c>
      <c r="G13" s="207">
        <v>5.9</v>
      </c>
      <c r="H13" s="207">
        <v>1.45</v>
      </c>
      <c r="I13" s="207">
        <v>0.56999999999999995</v>
      </c>
      <c r="J13" s="207">
        <v>0.1</v>
      </c>
      <c r="K13" s="235">
        <f t="shared" si="0"/>
        <v>0</v>
      </c>
      <c r="L13" s="207"/>
      <c r="M13" s="207"/>
      <c r="N13" s="207"/>
      <c r="O13" s="207"/>
      <c r="P13" s="207"/>
      <c r="Q13" s="207"/>
      <c r="R13" s="207"/>
      <c r="S13" s="207"/>
      <c r="T13" s="207">
        <v>50</v>
      </c>
      <c r="U13" s="207"/>
      <c r="V13" s="207">
        <v>34</v>
      </c>
      <c r="W13" s="207">
        <v>39</v>
      </c>
      <c r="X13" s="207">
        <v>67</v>
      </c>
      <c r="Y13" s="231"/>
    </row>
    <row r="14" spans="1:25" s="230" customFormat="1" ht="15.6" x14ac:dyDescent="0.3">
      <c r="A14" s="202">
        <v>11</v>
      </c>
      <c r="B14" s="204" t="s">
        <v>191</v>
      </c>
      <c r="C14" s="226"/>
      <c r="D14" s="207">
        <v>87.6</v>
      </c>
      <c r="E14" s="207">
        <v>45</v>
      </c>
      <c r="F14" s="207">
        <v>20</v>
      </c>
      <c r="G14" s="207">
        <v>8.7799999999999994</v>
      </c>
      <c r="H14" s="207">
        <v>1.45</v>
      </c>
      <c r="I14" s="207">
        <v>0.56999999999999995</v>
      </c>
      <c r="J14" s="207">
        <v>0.1</v>
      </c>
      <c r="K14" s="235">
        <f t="shared" si="0"/>
        <v>0</v>
      </c>
      <c r="L14" s="207"/>
      <c r="M14" s="207"/>
      <c r="N14" s="207"/>
      <c r="O14" s="207"/>
      <c r="P14" s="207"/>
      <c r="Q14" s="207"/>
      <c r="R14" s="207"/>
      <c r="S14" s="207"/>
      <c r="T14" s="207">
        <v>50.9</v>
      </c>
      <c r="U14" s="207"/>
      <c r="V14" s="207">
        <v>34</v>
      </c>
      <c r="W14" s="207">
        <v>44.85</v>
      </c>
      <c r="X14" s="207">
        <v>71.459999999999994</v>
      </c>
      <c r="Y14" s="231"/>
    </row>
    <row r="15" spans="1:25" s="230" customFormat="1" ht="15.6" x14ac:dyDescent="0.3">
      <c r="A15" s="202">
        <v>12</v>
      </c>
      <c r="B15" s="204" t="s">
        <v>192</v>
      </c>
      <c r="C15" s="225"/>
      <c r="D15" s="207">
        <v>91.164000000000001</v>
      </c>
      <c r="E15" s="207">
        <v>52.300000000000004</v>
      </c>
      <c r="F15" s="229">
        <v>26.700000000000003</v>
      </c>
      <c r="G15" s="229">
        <v>15.08</v>
      </c>
      <c r="H15" s="229">
        <v>1.7749999999999999</v>
      </c>
      <c r="I15" s="229">
        <v>1.159</v>
      </c>
      <c r="J15" s="229">
        <v>0.24</v>
      </c>
      <c r="K15" s="235">
        <f t="shared" si="0"/>
        <v>0</v>
      </c>
      <c r="L15" s="229">
        <v>0.29899999999999999</v>
      </c>
      <c r="M15" s="229">
        <v>0.248</v>
      </c>
      <c r="N15" s="229">
        <v>0.55200000000000005</v>
      </c>
      <c r="O15" s="229">
        <v>15.587999999999999</v>
      </c>
      <c r="P15" s="229">
        <v>751.41200000000003</v>
      </c>
      <c r="Q15" s="229">
        <v>78.658000000000001</v>
      </c>
      <c r="R15" s="231"/>
      <c r="S15" s="229">
        <v>51.021999999999998</v>
      </c>
      <c r="T15" s="229">
        <v>57.360999999999997</v>
      </c>
      <c r="U15" s="229">
        <v>2.6389999999999998</v>
      </c>
      <c r="V15" s="229">
        <v>26.254999999999999</v>
      </c>
      <c r="W15" s="229">
        <v>37.088999999999999</v>
      </c>
      <c r="X15" s="229">
        <v>52.241999999999997</v>
      </c>
      <c r="Y15" s="231"/>
    </row>
    <row r="16" spans="1:25" s="230" customFormat="1" ht="15.6" x14ac:dyDescent="0.3">
      <c r="A16" s="201">
        <v>13</v>
      </c>
      <c r="B16" s="204" t="s">
        <v>193</v>
      </c>
      <c r="C16" s="225"/>
      <c r="D16" s="207">
        <v>90.850999999999999</v>
      </c>
      <c r="E16" s="207">
        <v>56.499999999999993</v>
      </c>
      <c r="F16" s="229">
        <v>30.7</v>
      </c>
      <c r="G16" s="229">
        <v>14.288</v>
      </c>
      <c r="H16" s="229">
        <v>1.5840000000000001</v>
      </c>
      <c r="I16" s="229">
        <v>0.93300000000000005</v>
      </c>
      <c r="J16" s="229">
        <v>0.30599999999999999</v>
      </c>
      <c r="K16" s="235">
        <f t="shared" si="0"/>
        <v>0</v>
      </c>
      <c r="L16" s="229">
        <v>0.28100000000000003</v>
      </c>
      <c r="M16" s="229">
        <v>0.21099999999999999</v>
      </c>
      <c r="N16" s="229">
        <v>1.498</v>
      </c>
      <c r="O16" s="229">
        <v>27.727</v>
      </c>
      <c r="P16" s="229">
        <v>787.70600000000002</v>
      </c>
      <c r="Q16" s="229">
        <v>111.303</v>
      </c>
      <c r="R16" s="231"/>
      <c r="S16" s="229">
        <v>82.143000000000001</v>
      </c>
      <c r="T16" s="229">
        <v>59.735999999999997</v>
      </c>
      <c r="U16" s="229">
        <v>3.0030000000000001</v>
      </c>
      <c r="V16" s="229">
        <v>26.126000000000001</v>
      </c>
      <c r="W16" s="229">
        <v>32.606999999999999</v>
      </c>
      <c r="X16" s="229">
        <v>48.837000000000003</v>
      </c>
      <c r="Y16" s="231"/>
    </row>
    <row r="17" spans="1:25" s="230" customFormat="1" ht="15.6" x14ac:dyDescent="0.3">
      <c r="A17" s="202">
        <v>14</v>
      </c>
      <c r="B17" s="204" t="s">
        <v>194</v>
      </c>
      <c r="C17" s="225"/>
      <c r="D17" s="207">
        <v>91.656000000000006</v>
      </c>
      <c r="E17" s="207">
        <v>48</v>
      </c>
      <c r="F17" s="229">
        <v>22.900000000000002</v>
      </c>
      <c r="G17" s="229">
        <v>12.093999999999999</v>
      </c>
      <c r="H17" s="229">
        <v>1.679</v>
      </c>
      <c r="I17" s="229">
        <v>0.76300000000000001</v>
      </c>
      <c r="J17" s="229">
        <v>0.217</v>
      </c>
      <c r="K17" s="235">
        <f t="shared" si="0"/>
        <v>0</v>
      </c>
      <c r="L17" s="229">
        <v>0.26500000000000001</v>
      </c>
      <c r="M17" s="229">
        <v>0.20300000000000001</v>
      </c>
      <c r="N17" s="229">
        <v>1.3260000000000001</v>
      </c>
      <c r="O17" s="229">
        <v>21.774999999999999</v>
      </c>
      <c r="P17" s="229">
        <v>661.84500000000003</v>
      </c>
      <c r="Q17" s="229">
        <v>93.897000000000006</v>
      </c>
      <c r="R17" s="231"/>
      <c r="S17" s="229">
        <v>71.869</v>
      </c>
      <c r="T17" s="229">
        <v>55.344000000000001</v>
      </c>
      <c r="U17" s="229">
        <v>2.0539999999999998</v>
      </c>
      <c r="V17" s="229">
        <v>37.372999999999998</v>
      </c>
      <c r="W17" s="229">
        <v>40.204999999999998</v>
      </c>
      <c r="X17" s="229">
        <v>59.433</v>
      </c>
      <c r="Y17" s="231"/>
    </row>
    <row r="18" spans="1:25" s="230" customFormat="1" ht="15.6" x14ac:dyDescent="0.3">
      <c r="A18" s="202">
        <v>15</v>
      </c>
      <c r="B18" s="204" t="s">
        <v>195</v>
      </c>
      <c r="C18" s="225">
        <v>5</v>
      </c>
      <c r="D18" s="207">
        <v>92.019000000000005</v>
      </c>
      <c r="E18" s="207">
        <v>51</v>
      </c>
      <c r="F18" s="229">
        <v>25.6</v>
      </c>
      <c r="G18" s="229">
        <v>10.914</v>
      </c>
      <c r="H18" s="229">
        <v>1.883</v>
      </c>
      <c r="I18" s="229">
        <v>0.51500000000000001</v>
      </c>
      <c r="J18" s="229">
        <v>0.24</v>
      </c>
      <c r="K18" s="235">
        <f t="shared" si="0"/>
        <v>5</v>
      </c>
      <c r="L18" s="229">
        <v>0.20499999999999999</v>
      </c>
      <c r="M18" s="229">
        <v>0.17399999999999999</v>
      </c>
      <c r="N18" s="229">
        <v>0.88600000000000001</v>
      </c>
      <c r="O18" s="229">
        <v>8.9309999999999992</v>
      </c>
      <c r="P18" s="229">
        <v>185.12100000000001</v>
      </c>
      <c r="Q18" s="229">
        <v>74.947000000000003</v>
      </c>
      <c r="R18" s="231"/>
      <c r="S18" s="229">
        <v>35.154000000000003</v>
      </c>
      <c r="T18" s="229">
        <v>57.396000000000001</v>
      </c>
      <c r="U18" s="229">
        <v>2.5070000000000001</v>
      </c>
      <c r="V18" s="229">
        <v>31.401</v>
      </c>
      <c r="W18" s="229">
        <v>38.975999999999999</v>
      </c>
      <c r="X18" s="229">
        <v>62.98</v>
      </c>
      <c r="Y18" s="231"/>
    </row>
    <row r="19" spans="1:25" s="230" customFormat="1" ht="15.6" x14ac:dyDescent="0.3">
      <c r="A19" s="201">
        <v>16</v>
      </c>
      <c r="B19" s="204" t="s">
        <v>196</v>
      </c>
      <c r="C19" s="225"/>
      <c r="D19" s="207">
        <v>91.369</v>
      </c>
      <c r="E19" s="207">
        <v>54.500000000000007</v>
      </c>
      <c r="F19" s="229">
        <v>28.9</v>
      </c>
      <c r="G19" s="229">
        <v>14.302</v>
      </c>
      <c r="H19" s="229">
        <v>2.0350000000000001</v>
      </c>
      <c r="I19" s="229">
        <v>0.82199999999999995</v>
      </c>
      <c r="J19" s="229">
        <v>0.29299999999999998</v>
      </c>
      <c r="K19" s="235">
        <f t="shared" si="0"/>
        <v>0</v>
      </c>
      <c r="L19" s="229">
        <v>0.25</v>
      </c>
      <c r="M19" s="229">
        <v>0.19900000000000001</v>
      </c>
      <c r="N19" s="229">
        <v>0.93899999999999995</v>
      </c>
      <c r="O19" s="229">
        <v>10.433</v>
      </c>
      <c r="P19" s="229">
        <v>678.05</v>
      </c>
      <c r="Q19" s="229">
        <v>86.290999999999997</v>
      </c>
      <c r="R19" s="231"/>
      <c r="S19" s="229">
        <v>48.343000000000004</v>
      </c>
      <c r="T19" s="229">
        <v>58.954000000000001</v>
      </c>
      <c r="U19" s="229">
        <v>2.8239999999999998</v>
      </c>
      <c r="V19" s="229">
        <v>24.161999999999999</v>
      </c>
      <c r="W19" s="229">
        <v>35.761000000000003</v>
      </c>
      <c r="X19" s="229">
        <v>53.898000000000003</v>
      </c>
      <c r="Y19" s="231"/>
    </row>
    <row r="20" spans="1:25" s="230" customFormat="1" ht="15.6" x14ac:dyDescent="0.3">
      <c r="A20" s="202">
        <v>17</v>
      </c>
      <c r="B20" s="204" t="s">
        <v>197</v>
      </c>
      <c r="C20" s="225"/>
      <c r="D20" s="207">
        <v>91.506</v>
      </c>
      <c r="E20" s="207">
        <v>61.9</v>
      </c>
      <c r="F20" s="229">
        <v>35.5</v>
      </c>
      <c r="G20" s="229">
        <v>20.292999999999999</v>
      </c>
      <c r="H20" s="229">
        <v>1.6850000000000001</v>
      </c>
      <c r="I20" s="229">
        <v>1.397</v>
      </c>
      <c r="J20" s="229">
        <v>0.187</v>
      </c>
      <c r="K20" s="235">
        <f t="shared" si="0"/>
        <v>0</v>
      </c>
      <c r="L20" s="229">
        <v>0.33600000000000002</v>
      </c>
      <c r="M20" s="229">
        <v>0.22</v>
      </c>
      <c r="N20" s="229">
        <v>1.375</v>
      </c>
      <c r="O20" s="229">
        <v>12.661</v>
      </c>
      <c r="P20" s="229">
        <v>194.60599999999999</v>
      </c>
      <c r="Q20" s="229">
        <v>264.40600000000001</v>
      </c>
      <c r="R20" s="231"/>
      <c r="S20" s="229">
        <v>45.383000000000003</v>
      </c>
      <c r="T20" s="229">
        <v>62.524000000000001</v>
      </c>
      <c r="U20" s="229">
        <v>4.0940000000000003</v>
      </c>
      <c r="V20" s="229">
        <v>0</v>
      </c>
      <c r="W20" s="229">
        <v>41.930999999999997</v>
      </c>
      <c r="X20" s="229">
        <v>41.930999999999997</v>
      </c>
      <c r="Y20" s="231"/>
    </row>
    <row r="21" spans="1:25" s="230" customFormat="1" ht="15.6" x14ac:dyDescent="0.3">
      <c r="A21" s="202">
        <v>18</v>
      </c>
      <c r="B21" s="204" t="s">
        <v>198</v>
      </c>
      <c r="C21" s="225"/>
      <c r="D21" s="207">
        <v>90.896000000000001</v>
      </c>
      <c r="E21" s="207">
        <v>57.999999999999993</v>
      </c>
      <c r="F21" s="229">
        <v>32.1</v>
      </c>
      <c r="G21" s="229">
        <v>21.277999999999999</v>
      </c>
      <c r="H21" s="229">
        <v>2.3679999999999999</v>
      </c>
      <c r="I21" s="229">
        <v>1.2</v>
      </c>
      <c r="J21" s="229">
        <v>0.27400000000000002</v>
      </c>
      <c r="K21" s="235">
        <f t="shared" si="0"/>
        <v>0</v>
      </c>
      <c r="L21" s="229">
        <v>0.309</v>
      </c>
      <c r="M21" s="229">
        <v>0.27100000000000002</v>
      </c>
      <c r="N21" s="229">
        <v>0.46400000000000002</v>
      </c>
      <c r="O21" s="229">
        <v>8.9779999999999998</v>
      </c>
      <c r="P21" s="229">
        <v>375.72399999999999</v>
      </c>
      <c r="Q21" s="229">
        <v>36.536999999999999</v>
      </c>
      <c r="R21" s="231"/>
      <c r="S21" s="229">
        <v>27.978999999999999</v>
      </c>
      <c r="T21" s="229">
        <v>60.192999999999998</v>
      </c>
      <c r="U21" s="229">
        <v>2.4220000000000002</v>
      </c>
      <c r="V21" s="229">
        <v>25.521000000000001</v>
      </c>
      <c r="W21" s="229">
        <v>30.381</v>
      </c>
      <c r="X21" s="229">
        <v>38.707999999999998</v>
      </c>
      <c r="Y21" s="231"/>
    </row>
    <row r="22" spans="1:25" s="230" customFormat="1" ht="15.6" x14ac:dyDescent="0.3">
      <c r="A22" s="201">
        <v>19</v>
      </c>
      <c r="B22" s="204" t="s">
        <v>199</v>
      </c>
      <c r="C22" s="225"/>
      <c r="D22" s="207">
        <v>91.628</v>
      </c>
      <c r="E22" s="207">
        <v>44.5</v>
      </c>
      <c r="F22" s="229">
        <v>19.600000000000001</v>
      </c>
      <c r="G22" s="229">
        <v>11.343</v>
      </c>
      <c r="H22" s="229">
        <v>2.7229999999999999</v>
      </c>
      <c r="I22" s="229">
        <v>0.52100000000000002</v>
      </c>
      <c r="J22" s="229">
        <v>0.24199999999999999</v>
      </c>
      <c r="K22" s="235">
        <f t="shared" si="0"/>
        <v>0</v>
      </c>
      <c r="L22" s="229">
        <v>0.315</v>
      </c>
      <c r="M22" s="229">
        <v>0.193</v>
      </c>
      <c r="N22" s="229">
        <v>0</v>
      </c>
      <c r="O22" s="229">
        <v>9.8960000000000008</v>
      </c>
      <c r="P22" s="229">
        <v>305.39800000000002</v>
      </c>
      <c r="Q22" s="229">
        <v>99.867000000000004</v>
      </c>
      <c r="R22" s="231"/>
      <c r="S22" s="229">
        <v>38.14</v>
      </c>
      <c r="T22" s="229">
        <v>53.466999999999999</v>
      </c>
      <c r="U22" s="229">
        <v>1.7210000000000001</v>
      </c>
      <c r="V22" s="229">
        <v>28.684000000000001</v>
      </c>
      <c r="W22" s="229">
        <v>39.725999999999999</v>
      </c>
      <c r="X22" s="229">
        <v>62.512999999999998</v>
      </c>
      <c r="Y22" s="231"/>
    </row>
    <row r="23" spans="1:25" s="230" customFormat="1" ht="15.6" x14ac:dyDescent="0.3">
      <c r="A23" s="202">
        <v>20</v>
      </c>
      <c r="B23" s="204"/>
      <c r="C23" s="225"/>
      <c r="D23" s="207"/>
      <c r="E23" s="207"/>
      <c r="F23" s="229"/>
      <c r="G23" s="229"/>
      <c r="H23" s="229"/>
      <c r="I23" s="229"/>
      <c r="J23" s="229"/>
      <c r="K23" s="235"/>
      <c r="L23" s="229"/>
      <c r="M23" s="229"/>
      <c r="N23" s="229"/>
      <c r="O23" s="229"/>
      <c r="P23" s="229"/>
      <c r="Q23" s="229"/>
      <c r="R23" s="231"/>
      <c r="S23" s="229"/>
      <c r="T23" s="229"/>
      <c r="U23" s="229"/>
      <c r="V23" s="229"/>
      <c r="W23" s="229"/>
      <c r="X23" s="229"/>
      <c r="Y23" s="231"/>
    </row>
    <row r="24" spans="1:25" s="230" customFormat="1" ht="15.6" x14ac:dyDescent="0.3">
      <c r="A24" s="202">
        <v>21</v>
      </c>
      <c r="B24" s="203" t="s">
        <v>200</v>
      </c>
      <c r="C24" s="226"/>
      <c r="D24" s="207">
        <v>90</v>
      </c>
      <c r="E24" s="207">
        <v>50</v>
      </c>
      <c r="F24" s="207">
        <v>16</v>
      </c>
      <c r="G24" s="207">
        <v>3.6</v>
      </c>
      <c r="H24" s="207">
        <v>0.75</v>
      </c>
      <c r="I24" s="207">
        <v>0.46</v>
      </c>
      <c r="J24" s="207">
        <v>0.11</v>
      </c>
      <c r="K24" s="235">
        <f t="shared" si="0"/>
        <v>0</v>
      </c>
      <c r="L24" s="207"/>
      <c r="M24" s="207"/>
      <c r="N24" s="207"/>
      <c r="O24" s="207"/>
      <c r="P24" s="207"/>
      <c r="Q24" s="207"/>
      <c r="R24" s="207"/>
      <c r="S24" s="207"/>
      <c r="T24" s="207">
        <v>49</v>
      </c>
      <c r="U24" s="207"/>
      <c r="V24" s="207">
        <v>34</v>
      </c>
      <c r="W24" s="207"/>
      <c r="X24" s="207"/>
      <c r="Y24" s="231"/>
    </row>
    <row r="25" spans="1:25" s="230" customFormat="1" ht="15.6" x14ac:dyDescent="0.3">
      <c r="A25" s="201">
        <v>22</v>
      </c>
      <c r="B25" s="204" t="s">
        <v>201</v>
      </c>
      <c r="C25" s="225"/>
      <c r="D25" s="207">
        <v>90.069000000000003</v>
      </c>
      <c r="E25" s="207">
        <v>48.1</v>
      </c>
      <c r="F25" s="229">
        <v>22.900000000000002</v>
      </c>
      <c r="G25" s="229">
        <v>10.864000000000001</v>
      </c>
      <c r="H25" s="229">
        <v>2.2690000000000001</v>
      </c>
      <c r="I25" s="229">
        <v>0.46</v>
      </c>
      <c r="J25" s="229">
        <v>0.18</v>
      </c>
      <c r="K25" s="235">
        <f t="shared" si="0"/>
        <v>0</v>
      </c>
      <c r="L25" s="229">
        <v>0.27400000000000002</v>
      </c>
      <c r="M25" s="229">
        <v>0.16700000000000001</v>
      </c>
      <c r="N25" s="229">
        <v>0</v>
      </c>
      <c r="O25" s="229">
        <v>9.1319999999999997</v>
      </c>
      <c r="P25" s="229">
        <v>344.82499999999999</v>
      </c>
      <c r="Q25" s="229">
        <v>41.097000000000001</v>
      </c>
      <c r="R25" s="231"/>
      <c r="S25" s="229">
        <v>26.574000000000002</v>
      </c>
      <c r="T25" s="229">
        <v>54.814</v>
      </c>
      <c r="U25" s="229">
        <v>1.47</v>
      </c>
      <c r="V25" s="229">
        <v>0</v>
      </c>
      <c r="W25" s="229">
        <v>35.372999999999998</v>
      </c>
      <c r="X25" s="229">
        <v>58.155999999999999</v>
      </c>
      <c r="Y25" s="231"/>
    </row>
    <row r="26" spans="1:25" s="230" customFormat="1" ht="15.6" x14ac:dyDescent="0.3">
      <c r="A26" s="202">
        <v>23</v>
      </c>
      <c r="B26" s="204" t="s">
        <v>202</v>
      </c>
      <c r="C26" s="225"/>
      <c r="D26" s="207">
        <v>91.48</v>
      </c>
      <c r="E26" s="207">
        <v>51.2</v>
      </c>
      <c r="F26" s="229">
        <v>25.8</v>
      </c>
      <c r="G26" s="229">
        <v>12.259</v>
      </c>
      <c r="H26" s="229">
        <v>1.9259999999999999</v>
      </c>
      <c r="I26" s="229">
        <v>0.69199999999999995</v>
      </c>
      <c r="J26" s="229">
        <v>0.26300000000000001</v>
      </c>
      <c r="K26" s="235">
        <f t="shared" si="0"/>
        <v>0</v>
      </c>
      <c r="L26" s="229">
        <v>0.223</v>
      </c>
      <c r="M26" s="229">
        <v>0.182</v>
      </c>
      <c r="N26" s="229">
        <v>0.873</v>
      </c>
      <c r="O26" s="229">
        <v>9.2200000000000006</v>
      </c>
      <c r="P26" s="229">
        <v>384.46300000000002</v>
      </c>
      <c r="Q26" s="229">
        <v>71.994</v>
      </c>
      <c r="R26" s="231"/>
      <c r="S26" s="229">
        <v>25.95</v>
      </c>
      <c r="T26" s="229">
        <v>57.292000000000002</v>
      </c>
      <c r="U26" s="229">
        <v>2.59</v>
      </c>
      <c r="V26" s="229">
        <v>24.614000000000001</v>
      </c>
      <c r="W26" s="229">
        <v>38.408999999999999</v>
      </c>
      <c r="X26" s="229">
        <v>60.118000000000002</v>
      </c>
      <c r="Y26" s="231"/>
    </row>
    <row r="27" spans="1:25" s="230" customFormat="1" ht="15.6" x14ac:dyDescent="0.3">
      <c r="A27" s="202">
        <v>24</v>
      </c>
      <c r="B27" s="204" t="s">
        <v>203</v>
      </c>
      <c r="C27" s="225"/>
      <c r="D27" s="207">
        <v>90.501000000000005</v>
      </c>
      <c r="E27" s="207">
        <v>53.900000000000006</v>
      </c>
      <c r="F27" s="229">
        <v>28.299999999999997</v>
      </c>
      <c r="G27" s="229">
        <v>17.524000000000001</v>
      </c>
      <c r="H27" s="229">
        <v>2.1560000000000001</v>
      </c>
      <c r="I27" s="229">
        <v>1.2070000000000001</v>
      </c>
      <c r="J27" s="229">
        <v>0.28599999999999998</v>
      </c>
      <c r="K27" s="235">
        <f t="shared" si="0"/>
        <v>0</v>
      </c>
      <c r="L27" s="229">
        <v>0.27400000000000002</v>
      </c>
      <c r="M27" s="229">
        <v>0.215</v>
      </c>
      <c r="N27" s="229">
        <v>0.73299999999999998</v>
      </c>
      <c r="O27" s="229">
        <v>9.7439999999999998</v>
      </c>
      <c r="P27" s="229">
        <v>252.25200000000001</v>
      </c>
      <c r="Q27" s="229">
        <v>42.118000000000002</v>
      </c>
      <c r="R27" s="231"/>
      <c r="S27" s="229">
        <v>23.548999999999999</v>
      </c>
      <c r="T27" s="229">
        <v>58.258000000000003</v>
      </c>
      <c r="U27" s="229">
        <v>2.4710000000000001</v>
      </c>
      <c r="V27" s="229">
        <v>30.657</v>
      </c>
      <c r="W27" s="229">
        <v>35.067999999999998</v>
      </c>
      <c r="X27" s="229">
        <v>48.731000000000002</v>
      </c>
      <c r="Y27" s="231"/>
    </row>
    <row r="28" spans="1:25" s="230" customFormat="1" ht="15.6" x14ac:dyDescent="0.3">
      <c r="A28" s="201">
        <v>25</v>
      </c>
      <c r="B28" s="204" t="s">
        <v>25</v>
      </c>
      <c r="C28" s="225"/>
      <c r="D28" s="207">
        <v>90.88</v>
      </c>
      <c r="E28" s="207">
        <v>53</v>
      </c>
      <c r="F28" s="229">
        <v>27.500000000000004</v>
      </c>
      <c r="G28" s="229">
        <v>8.5530000000000008</v>
      </c>
      <c r="H28" s="229">
        <v>1.73</v>
      </c>
      <c r="I28" s="229">
        <v>0.31900000000000001</v>
      </c>
      <c r="J28" s="229">
        <v>0.20499999999999999</v>
      </c>
      <c r="K28" s="235">
        <f t="shared" si="0"/>
        <v>0</v>
      </c>
      <c r="L28" s="229">
        <v>0.14799999999999999</v>
      </c>
      <c r="M28" s="229">
        <v>0.13500000000000001</v>
      </c>
      <c r="N28" s="229">
        <v>1.018</v>
      </c>
      <c r="O28" s="229">
        <v>7.7140000000000004</v>
      </c>
      <c r="P28" s="229">
        <v>250.30600000000001</v>
      </c>
      <c r="Q28" s="229">
        <v>62.064</v>
      </c>
      <c r="R28" s="207">
        <v>0.17</v>
      </c>
      <c r="S28" s="229">
        <v>19.251000000000001</v>
      </c>
      <c r="T28" s="229">
        <v>58.582999999999998</v>
      </c>
      <c r="U28" s="229">
        <v>2.319</v>
      </c>
      <c r="V28" s="229">
        <v>28.776</v>
      </c>
      <c r="W28" s="229">
        <v>37.554000000000002</v>
      </c>
      <c r="X28" s="229">
        <v>59.180999999999997</v>
      </c>
      <c r="Y28" s="207">
        <v>98</v>
      </c>
    </row>
    <row r="29" spans="1:25" s="230" customFormat="1" ht="15.6" x14ac:dyDescent="0.3">
      <c r="A29" s="202">
        <v>26</v>
      </c>
      <c r="B29" s="203" t="s">
        <v>24</v>
      </c>
      <c r="C29" s="226"/>
      <c r="D29" s="207">
        <v>90</v>
      </c>
      <c r="E29" s="207">
        <v>52</v>
      </c>
      <c r="F29" s="207">
        <v>25</v>
      </c>
      <c r="G29" s="207">
        <v>5.8</v>
      </c>
      <c r="H29" s="207">
        <v>1.95</v>
      </c>
      <c r="I29" s="207">
        <v>0.38</v>
      </c>
      <c r="J29" s="207">
        <v>0.2</v>
      </c>
      <c r="K29" s="235">
        <f t="shared" si="0"/>
        <v>0</v>
      </c>
      <c r="L29" s="207">
        <v>0.18</v>
      </c>
      <c r="M29" s="207">
        <v>0.18</v>
      </c>
      <c r="N29" s="207">
        <v>0.1</v>
      </c>
      <c r="O29" s="207">
        <v>9</v>
      </c>
      <c r="P29" s="207">
        <v>120</v>
      </c>
      <c r="Q29" s="207">
        <v>60</v>
      </c>
      <c r="R29" s="207">
        <v>0.12</v>
      </c>
      <c r="S29" s="207">
        <v>24</v>
      </c>
      <c r="T29" s="207">
        <v>51</v>
      </c>
      <c r="U29" s="207">
        <v>2.4</v>
      </c>
      <c r="V29" s="207">
        <v>34.200000000000003</v>
      </c>
      <c r="W29" s="207"/>
      <c r="X29" s="207"/>
      <c r="Y29" s="207"/>
    </row>
    <row r="30" spans="1:25" s="230" customFormat="1" ht="15.6" x14ac:dyDescent="0.3">
      <c r="A30" s="202">
        <v>27</v>
      </c>
      <c r="B30" s="203" t="s">
        <v>23</v>
      </c>
      <c r="C30" s="226"/>
      <c r="D30" s="207">
        <v>90</v>
      </c>
      <c r="E30" s="207">
        <v>59</v>
      </c>
      <c r="F30" s="207">
        <v>34</v>
      </c>
      <c r="G30" s="207">
        <v>10</v>
      </c>
      <c r="H30" s="207">
        <v>1.95</v>
      </c>
      <c r="I30" s="207">
        <v>0.38</v>
      </c>
      <c r="J30" s="207">
        <v>0.2</v>
      </c>
      <c r="K30" s="235">
        <f t="shared" si="0"/>
        <v>0</v>
      </c>
      <c r="L30" s="207">
        <v>0.18</v>
      </c>
      <c r="M30" s="207">
        <v>0.18</v>
      </c>
      <c r="N30" s="207">
        <v>0.1</v>
      </c>
      <c r="O30" s="207">
        <v>9</v>
      </c>
      <c r="P30" s="207">
        <v>120</v>
      </c>
      <c r="Q30" s="207">
        <v>60</v>
      </c>
      <c r="R30" s="207">
        <v>0.12</v>
      </c>
      <c r="S30" s="207">
        <v>24</v>
      </c>
      <c r="T30" s="207">
        <v>58</v>
      </c>
      <c r="U30" s="207">
        <v>2.8</v>
      </c>
      <c r="V30" s="207">
        <v>24.9</v>
      </c>
      <c r="W30" s="207"/>
      <c r="X30" s="207"/>
      <c r="Y30" s="207"/>
    </row>
    <row r="31" spans="1:25" s="230" customFormat="1" ht="15.6" x14ac:dyDescent="0.3">
      <c r="A31" s="201">
        <v>28</v>
      </c>
      <c r="B31" s="204" t="s">
        <v>204</v>
      </c>
      <c r="C31" s="225"/>
      <c r="D31" s="207">
        <v>91.22</v>
      </c>
      <c r="E31" s="207">
        <v>53.900000000000006</v>
      </c>
      <c r="F31" s="229">
        <v>28.299999999999997</v>
      </c>
      <c r="G31" s="229">
        <v>10.686999999999999</v>
      </c>
      <c r="H31" s="229">
        <v>1.542</v>
      </c>
      <c r="I31" s="229">
        <v>1.3859999999999999</v>
      </c>
      <c r="J31" s="229">
        <v>0.155</v>
      </c>
      <c r="K31" s="235">
        <f t="shared" si="0"/>
        <v>0</v>
      </c>
      <c r="L31" s="229">
        <v>0.52900000000000003</v>
      </c>
      <c r="M31" s="229">
        <v>0.13800000000000001</v>
      </c>
      <c r="N31" s="229">
        <v>0</v>
      </c>
      <c r="O31" s="229">
        <v>14.473000000000001</v>
      </c>
      <c r="P31" s="229">
        <v>978.64200000000005</v>
      </c>
      <c r="Q31" s="229">
        <v>66.379000000000005</v>
      </c>
      <c r="R31" s="231"/>
      <c r="S31" s="229">
        <v>28.34</v>
      </c>
      <c r="T31" s="229">
        <v>57.396000000000001</v>
      </c>
      <c r="U31" s="229">
        <v>2.7629999999999999</v>
      </c>
      <c r="V31" s="229">
        <v>0</v>
      </c>
      <c r="W31" s="229">
        <v>39.44</v>
      </c>
      <c r="X31" s="229">
        <v>48.703000000000003</v>
      </c>
      <c r="Y31" s="231"/>
    </row>
    <row r="32" spans="1:25" s="230" customFormat="1" ht="15.6" x14ac:dyDescent="0.3">
      <c r="A32" s="202">
        <v>29</v>
      </c>
      <c r="B32" s="204" t="s">
        <v>205</v>
      </c>
      <c r="C32" s="225"/>
      <c r="D32" s="207">
        <v>91.403999999999996</v>
      </c>
      <c r="E32" s="207">
        <v>52.400000000000006</v>
      </c>
      <c r="F32" s="229">
        <v>27</v>
      </c>
      <c r="G32" s="229">
        <v>12.73</v>
      </c>
      <c r="H32" s="229">
        <v>1.78</v>
      </c>
      <c r="I32" s="229">
        <v>1.242</v>
      </c>
      <c r="J32" s="229">
        <v>0.21299999999999999</v>
      </c>
      <c r="K32" s="235">
        <f t="shared" si="0"/>
        <v>0</v>
      </c>
      <c r="L32" s="229">
        <v>0.29799999999999999</v>
      </c>
      <c r="M32" s="229">
        <v>0.16300000000000001</v>
      </c>
      <c r="N32" s="229">
        <v>0</v>
      </c>
      <c r="O32" s="229">
        <v>9.9049999999999994</v>
      </c>
      <c r="P32" s="229">
        <v>1412.797</v>
      </c>
      <c r="Q32" s="229">
        <v>58.54</v>
      </c>
      <c r="R32" s="231"/>
      <c r="S32" s="229">
        <v>29.462</v>
      </c>
      <c r="T32" s="229">
        <v>57.45</v>
      </c>
      <c r="U32" s="229">
        <v>2.073</v>
      </c>
      <c r="V32" s="229">
        <v>0</v>
      </c>
      <c r="W32" s="229">
        <v>34.953000000000003</v>
      </c>
      <c r="X32" s="229">
        <v>47.27</v>
      </c>
      <c r="Y32" s="231"/>
    </row>
    <row r="33" spans="1:25" s="230" customFormat="1" ht="15.6" x14ac:dyDescent="0.3">
      <c r="A33" s="202">
        <v>30</v>
      </c>
      <c r="B33" s="204" t="s">
        <v>206</v>
      </c>
      <c r="C33" s="225"/>
      <c r="D33" s="207">
        <v>89.643000000000001</v>
      </c>
      <c r="E33" s="207">
        <v>55.000000000000007</v>
      </c>
      <c r="F33" s="229">
        <v>29.2</v>
      </c>
      <c r="G33" s="229">
        <v>6.2990000000000004</v>
      </c>
      <c r="H33" s="229">
        <v>1.79</v>
      </c>
      <c r="I33" s="229">
        <v>0.36699999999999999</v>
      </c>
      <c r="J33" s="229">
        <v>0.13500000000000001</v>
      </c>
      <c r="K33" s="235">
        <f t="shared" si="0"/>
        <v>0</v>
      </c>
      <c r="L33" s="229">
        <v>0.106</v>
      </c>
      <c r="M33" s="229">
        <v>0.12</v>
      </c>
      <c r="N33" s="229">
        <v>0</v>
      </c>
      <c r="O33" s="229">
        <v>9.5690000000000008</v>
      </c>
      <c r="P33" s="229">
        <v>331.43900000000002</v>
      </c>
      <c r="Q33" s="229">
        <v>155.047</v>
      </c>
      <c r="R33" s="231"/>
      <c r="S33" s="229">
        <v>15.250999999999999</v>
      </c>
      <c r="T33" s="229">
        <v>60.389000000000003</v>
      </c>
      <c r="U33" s="229">
        <v>1.482</v>
      </c>
      <c r="V33" s="229">
        <v>23.978000000000002</v>
      </c>
      <c r="W33" s="229">
        <v>30.832000000000001</v>
      </c>
      <c r="X33" s="229">
        <v>60.847000000000001</v>
      </c>
      <c r="Y33" s="231"/>
    </row>
    <row r="34" spans="1:25" s="230" customFormat="1" ht="15.6" x14ac:dyDescent="0.3">
      <c r="A34" s="201">
        <v>31</v>
      </c>
      <c r="B34" s="203" t="s">
        <v>20</v>
      </c>
      <c r="C34" s="226"/>
      <c r="D34" s="207">
        <v>90</v>
      </c>
      <c r="E34" s="207">
        <v>45.45</v>
      </c>
      <c r="F34" s="207">
        <v>20.45</v>
      </c>
      <c r="G34" s="207">
        <v>5.8</v>
      </c>
      <c r="H34" s="207">
        <v>1.08</v>
      </c>
      <c r="I34" s="207">
        <v>0.43</v>
      </c>
      <c r="J34" s="207">
        <v>0.15</v>
      </c>
      <c r="K34" s="235">
        <f t="shared" si="0"/>
        <v>0</v>
      </c>
      <c r="L34" s="207">
        <v>0.28999999999999998</v>
      </c>
      <c r="M34" s="207">
        <v>7.0000000000000007E-2</v>
      </c>
      <c r="N34" s="207">
        <v>0.13</v>
      </c>
      <c r="O34" s="207">
        <v>7</v>
      </c>
      <c r="P34" s="207">
        <v>129</v>
      </c>
      <c r="Q34" s="207">
        <v>110</v>
      </c>
      <c r="R34" s="207">
        <v>0.05</v>
      </c>
      <c r="S34" s="207">
        <v>34</v>
      </c>
      <c r="T34" s="207">
        <v>69</v>
      </c>
      <c r="U34" s="207">
        <v>2.4</v>
      </c>
      <c r="V34" s="207">
        <v>34</v>
      </c>
      <c r="W34" s="207">
        <v>47</v>
      </c>
      <c r="X34" s="207">
        <v>67</v>
      </c>
      <c r="Y34" s="207">
        <v>98</v>
      </c>
    </row>
    <row r="35" spans="1:25" s="230" customFormat="1" ht="15.6" x14ac:dyDescent="0.3">
      <c r="A35" s="202">
        <v>32</v>
      </c>
      <c r="B35" s="204" t="s">
        <v>207</v>
      </c>
      <c r="C35" s="225"/>
      <c r="D35" s="207">
        <v>92.947999999999993</v>
      </c>
      <c r="E35" s="207">
        <v>47.8</v>
      </c>
      <c r="F35" s="229">
        <v>22.7</v>
      </c>
      <c r="G35" s="229">
        <v>7.3920000000000003</v>
      </c>
      <c r="H35" s="229">
        <v>1.867</v>
      </c>
      <c r="I35" s="229">
        <v>0.20799999999999999</v>
      </c>
      <c r="J35" s="229">
        <v>0.215</v>
      </c>
      <c r="K35" s="235">
        <f t="shared" si="0"/>
        <v>0</v>
      </c>
      <c r="L35" s="229">
        <v>0.157</v>
      </c>
      <c r="M35" s="229">
        <v>0.14499999999999999</v>
      </c>
      <c r="N35" s="229">
        <v>0</v>
      </c>
      <c r="O35" s="229">
        <v>16.006</v>
      </c>
      <c r="P35" s="229">
        <v>301.572</v>
      </c>
      <c r="Q35" s="229">
        <v>557.572</v>
      </c>
      <c r="R35" s="231"/>
      <c r="S35" s="229">
        <v>60.13</v>
      </c>
      <c r="T35" s="229">
        <v>55.392000000000003</v>
      </c>
      <c r="U35" s="229">
        <v>1.802</v>
      </c>
      <c r="V35" s="229">
        <v>28.369</v>
      </c>
      <c r="W35" s="229">
        <v>41.225000000000001</v>
      </c>
      <c r="X35" s="229">
        <v>60.448</v>
      </c>
      <c r="Y35" s="231"/>
    </row>
    <row r="36" spans="1:25" s="230" customFormat="1" ht="15.6" x14ac:dyDescent="0.3">
      <c r="A36" s="202">
        <v>33</v>
      </c>
      <c r="B36" s="204" t="s">
        <v>208</v>
      </c>
      <c r="C36" s="225"/>
      <c r="D36" s="207">
        <v>91.622</v>
      </c>
      <c r="E36" s="207">
        <v>53.1</v>
      </c>
      <c r="F36" s="229">
        <v>27.500000000000004</v>
      </c>
      <c r="G36" s="229">
        <v>9.9960000000000004</v>
      </c>
      <c r="H36" s="229">
        <v>1.9239999999999999</v>
      </c>
      <c r="I36" s="229">
        <v>0.41499999999999998</v>
      </c>
      <c r="J36" s="229">
        <v>0.23</v>
      </c>
      <c r="K36" s="235">
        <f t="shared" si="0"/>
        <v>0</v>
      </c>
      <c r="L36" s="229">
        <v>0.17799999999999999</v>
      </c>
      <c r="M36" s="229">
        <v>0.154</v>
      </c>
      <c r="N36" s="229">
        <v>0.249</v>
      </c>
      <c r="O36" s="229">
        <v>7.2460000000000004</v>
      </c>
      <c r="P36" s="229">
        <v>289.30700000000002</v>
      </c>
      <c r="Q36" s="229">
        <v>87.018000000000001</v>
      </c>
      <c r="R36" s="231"/>
      <c r="S36" s="229">
        <v>26.643999999999998</v>
      </c>
      <c r="T36" s="229">
        <v>58.71</v>
      </c>
      <c r="U36" s="229">
        <v>2.109</v>
      </c>
      <c r="V36" s="229">
        <v>32.752000000000002</v>
      </c>
      <c r="W36" s="229">
        <v>38.755000000000003</v>
      </c>
      <c r="X36" s="229">
        <v>61.106999999999999</v>
      </c>
      <c r="Y36" s="231"/>
    </row>
    <row r="37" spans="1:25" s="230" customFormat="1" ht="15.6" x14ac:dyDescent="0.3">
      <c r="A37" s="201">
        <v>34</v>
      </c>
      <c r="B37" s="204" t="s">
        <v>209</v>
      </c>
      <c r="C37" s="225"/>
      <c r="D37" s="207">
        <v>91.295000000000002</v>
      </c>
      <c r="E37" s="207">
        <v>53</v>
      </c>
      <c r="F37" s="229">
        <v>27.500000000000004</v>
      </c>
      <c r="G37" s="229">
        <v>10.08</v>
      </c>
      <c r="H37" s="229">
        <v>1.849</v>
      </c>
      <c r="I37" s="229">
        <v>0.39700000000000002</v>
      </c>
      <c r="J37" s="229">
        <v>0.218</v>
      </c>
      <c r="K37" s="235">
        <f t="shared" si="0"/>
        <v>0</v>
      </c>
      <c r="L37" s="229">
        <v>0.159</v>
      </c>
      <c r="M37" s="229">
        <v>0.17199999999999999</v>
      </c>
      <c r="N37" s="229">
        <v>1.2290000000000001</v>
      </c>
      <c r="O37" s="229">
        <v>8.5790000000000006</v>
      </c>
      <c r="P37" s="229">
        <v>288.41000000000003</v>
      </c>
      <c r="Q37" s="229">
        <v>55.536999999999999</v>
      </c>
      <c r="R37" s="231"/>
      <c r="S37" s="229">
        <v>23.827999999999999</v>
      </c>
      <c r="T37" s="229">
        <v>58.598999999999997</v>
      </c>
      <c r="U37" s="229">
        <v>2.2309999999999999</v>
      </c>
      <c r="V37" s="229">
        <v>34.094000000000001</v>
      </c>
      <c r="W37" s="229">
        <v>37.363999999999997</v>
      </c>
      <c r="X37" s="229">
        <v>58.52</v>
      </c>
      <c r="Y37" s="231"/>
    </row>
    <row r="38" spans="1:25" s="230" customFormat="1" ht="15.6" x14ac:dyDescent="0.3">
      <c r="A38" s="202">
        <v>35</v>
      </c>
      <c r="B38" s="204" t="s">
        <v>210</v>
      </c>
      <c r="C38" s="225"/>
      <c r="D38" s="207">
        <v>91.44</v>
      </c>
      <c r="E38" s="207">
        <v>46.7</v>
      </c>
      <c r="F38" s="229">
        <v>21.8</v>
      </c>
      <c r="G38" s="229">
        <v>9.8209999999999997</v>
      </c>
      <c r="H38" s="229">
        <v>2.2130000000000001</v>
      </c>
      <c r="I38" s="229">
        <v>0.51500000000000001</v>
      </c>
      <c r="J38" s="229">
        <v>0.218</v>
      </c>
      <c r="K38" s="235">
        <f t="shared" si="0"/>
        <v>0</v>
      </c>
      <c r="L38" s="229">
        <v>0.28100000000000003</v>
      </c>
      <c r="M38" s="229">
        <v>0.158</v>
      </c>
      <c r="N38" s="229">
        <v>0.433</v>
      </c>
      <c r="O38" s="229">
        <v>11.397</v>
      </c>
      <c r="P38" s="229">
        <v>774.34900000000005</v>
      </c>
      <c r="Q38" s="229">
        <v>65.147999999999996</v>
      </c>
      <c r="R38" s="231"/>
      <c r="S38" s="229">
        <v>32.436</v>
      </c>
      <c r="T38" s="229">
        <v>54.884</v>
      </c>
      <c r="U38" s="229">
        <v>1.8080000000000001</v>
      </c>
      <c r="V38" s="229">
        <v>30.315999999999999</v>
      </c>
      <c r="W38" s="229">
        <v>39.896000000000001</v>
      </c>
      <c r="X38" s="229">
        <v>62.460999999999999</v>
      </c>
      <c r="Y38" s="231"/>
    </row>
    <row r="39" spans="1:25" s="230" customFormat="1" ht="15.6" x14ac:dyDescent="0.3">
      <c r="A39" s="202">
        <v>36</v>
      </c>
      <c r="B39" s="204" t="s">
        <v>211</v>
      </c>
      <c r="C39" s="225"/>
      <c r="D39" s="207">
        <v>92.100999999999999</v>
      </c>
      <c r="E39" s="207">
        <v>45.7</v>
      </c>
      <c r="F39" s="229">
        <v>20.7</v>
      </c>
      <c r="G39" s="229">
        <v>10.504</v>
      </c>
      <c r="H39" s="229">
        <v>2.4849999999999999</v>
      </c>
      <c r="I39" s="229">
        <v>0.498</v>
      </c>
      <c r="J39" s="229">
        <v>0.23899999999999999</v>
      </c>
      <c r="K39" s="235">
        <f t="shared" si="0"/>
        <v>0</v>
      </c>
      <c r="L39" s="229">
        <v>0.29899999999999999</v>
      </c>
      <c r="M39" s="229">
        <v>0.17299999999999999</v>
      </c>
      <c r="N39" s="229">
        <v>6.5000000000000002E-2</v>
      </c>
      <c r="O39" s="229">
        <v>11.226000000000001</v>
      </c>
      <c r="P39" s="229">
        <v>431.57799999999997</v>
      </c>
      <c r="Q39" s="229">
        <v>62.423000000000002</v>
      </c>
      <c r="R39" s="231"/>
      <c r="S39" s="229">
        <v>29.356999999999999</v>
      </c>
      <c r="T39" s="229">
        <v>54.319000000000003</v>
      </c>
      <c r="U39" s="229">
        <v>1.754</v>
      </c>
      <c r="V39" s="229">
        <v>35.944000000000003</v>
      </c>
      <c r="W39" s="229">
        <v>40.404000000000003</v>
      </c>
      <c r="X39" s="229">
        <v>63.774999999999999</v>
      </c>
      <c r="Y39" s="231"/>
    </row>
    <row r="40" spans="1:25" s="230" customFormat="1" ht="15.6" x14ac:dyDescent="0.3">
      <c r="A40" s="201">
        <v>37</v>
      </c>
      <c r="B40" s="204" t="s">
        <v>212</v>
      </c>
      <c r="C40" s="225"/>
      <c r="D40" s="207">
        <v>92.355000000000004</v>
      </c>
      <c r="E40" s="207">
        <v>57.099999999999994</v>
      </c>
      <c r="F40" s="229">
        <v>31.4</v>
      </c>
      <c r="G40" s="229">
        <v>15.457000000000001</v>
      </c>
      <c r="H40" s="229">
        <v>1.556</v>
      </c>
      <c r="I40" s="229">
        <v>1.3959999999999999</v>
      </c>
      <c r="J40" s="229">
        <v>0.218</v>
      </c>
      <c r="K40" s="235">
        <f t="shared" si="0"/>
        <v>0</v>
      </c>
      <c r="L40" s="229">
        <v>0.40400000000000003</v>
      </c>
      <c r="M40" s="229">
        <v>0.191</v>
      </c>
      <c r="N40" s="229">
        <v>0</v>
      </c>
      <c r="O40" s="229">
        <v>10.439</v>
      </c>
      <c r="P40" s="229">
        <v>921.24300000000005</v>
      </c>
      <c r="Q40" s="229">
        <v>68.819999999999993</v>
      </c>
      <c r="R40" s="231"/>
      <c r="S40" s="229">
        <v>31.681999999999999</v>
      </c>
      <c r="T40" s="229">
        <v>59.981999999999999</v>
      </c>
      <c r="U40" s="229">
        <v>2.3180000000000001</v>
      </c>
      <c r="V40" s="229">
        <v>0</v>
      </c>
      <c r="W40" s="229">
        <v>37.357999999999997</v>
      </c>
      <c r="X40" s="229">
        <v>47.414999999999999</v>
      </c>
      <c r="Y40" s="231"/>
    </row>
    <row r="41" spans="1:25" s="230" customFormat="1" ht="15.6" x14ac:dyDescent="0.3">
      <c r="A41" s="202">
        <v>38</v>
      </c>
      <c r="B41" s="204" t="s">
        <v>213</v>
      </c>
      <c r="C41" s="225"/>
      <c r="D41" s="207">
        <v>93.147000000000006</v>
      </c>
      <c r="E41" s="207">
        <v>36.1</v>
      </c>
      <c r="F41" s="229">
        <v>11.799999999999999</v>
      </c>
      <c r="G41" s="229">
        <v>5.2530000000000001</v>
      </c>
      <c r="H41" s="229">
        <v>1.3480000000000001</v>
      </c>
      <c r="I41" s="229">
        <v>0.35199999999999998</v>
      </c>
      <c r="J41" s="229">
        <v>0.112</v>
      </c>
      <c r="K41" s="235">
        <f t="shared" si="0"/>
        <v>0</v>
      </c>
      <c r="L41" s="229">
        <v>0.123</v>
      </c>
      <c r="M41" s="229">
        <v>0.108</v>
      </c>
      <c r="N41" s="229">
        <v>1.4810000000000001</v>
      </c>
      <c r="O41" s="229">
        <v>7.0010000000000003</v>
      </c>
      <c r="P41" s="229">
        <v>231.96899999999999</v>
      </c>
      <c r="Q41" s="229">
        <v>95.596000000000004</v>
      </c>
      <c r="R41" s="231"/>
      <c r="S41" s="229">
        <v>19.661999999999999</v>
      </c>
      <c r="T41" s="229">
        <v>48.831000000000003</v>
      </c>
      <c r="U41" s="229">
        <v>1.4870000000000001</v>
      </c>
      <c r="V41" s="229">
        <v>37.295999999999999</v>
      </c>
      <c r="W41" s="229">
        <v>50.564999999999998</v>
      </c>
      <c r="X41" s="229">
        <v>73.533000000000001</v>
      </c>
      <c r="Y41" s="231"/>
    </row>
    <row r="42" spans="1:25" s="230" customFormat="1" ht="15.6" x14ac:dyDescent="0.3">
      <c r="A42" s="202">
        <v>39</v>
      </c>
      <c r="B42" s="203" t="s">
        <v>22</v>
      </c>
      <c r="C42" s="226"/>
      <c r="D42" s="207">
        <v>91</v>
      </c>
      <c r="E42" s="207">
        <v>52</v>
      </c>
      <c r="F42" s="207">
        <v>24</v>
      </c>
      <c r="G42" s="207">
        <v>4.8</v>
      </c>
      <c r="H42" s="207">
        <v>1.87</v>
      </c>
      <c r="I42" s="207">
        <v>0.45</v>
      </c>
      <c r="J42" s="207">
        <v>0.2</v>
      </c>
      <c r="K42" s="235">
        <f t="shared" si="0"/>
        <v>0</v>
      </c>
      <c r="L42" s="207">
        <v>0.51</v>
      </c>
      <c r="M42" s="207">
        <v>0.06</v>
      </c>
      <c r="N42" s="207">
        <v>0.13</v>
      </c>
      <c r="O42" s="207">
        <v>37</v>
      </c>
      <c r="P42" s="207">
        <v>193</v>
      </c>
      <c r="Q42" s="207">
        <v>91</v>
      </c>
      <c r="R42" s="207">
        <v>0.12</v>
      </c>
      <c r="S42" s="207">
        <v>38</v>
      </c>
      <c r="T42" s="207">
        <v>52</v>
      </c>
      <c r="U42" s="207">
        <v>2.4</v>
      </c>
      <c r="V42" s="207">
        <v>33.5</v>
      </c>
      <c r="W42" s="207">
        <v>44</v>
      </c>
      <c r="X42" s="207">
        <v>68</v>
      </c>
      <c r="Y42" s="207">
        <v>98</v>
      </c>
    </row>
    <row r="43" spans="1:25" s="230" customFormat="1" ht="15.6" x14ac:dyDescent="0.3">
      <c r="A43" s="201">
        <v>40</v>
      </c>
      <c r="B43" s="203" t="s">
        <v>21</v>
      </c>
      <c r="C43" s="226"/>
      <c r="D43" s="207">
        <v>91</v>
      </c>
      <c r="E43" s="207">
        <v>54</v>
      </c>
      <c r="F43" s="207">
        <v>26</v>
      </c>
      <c r="G43" s="207">
        <v>8.5</v>
      </c>
      <c r="H43" s="207">
        <v>1.87</v>
      </c>
      <c r="I43" s="207">
        <v>0.4</v>
      </c>
      <c r="J43" s="207">
        <v>0.26</v>
      </c>
      <c r="K43" s="235">
        <f t="shared" si="0"/>
        <v>0</v>
      </c>
      <c r="L43" s="207">
        <v>0.51</v>
      </c>
      <c r="M43" s="207">
        <v>0.06</v>
      </c>
      <c r="N43" s="207">
        <v>0.13</v>
      </c>
      <c r="O43" s="207">
        <v>37</v>
      </c>
      <c r="P43" s="207">
        <v>193</v>
      </c>
      <c r="Q43" s="207">
        <v>91</v>
      </c>
      <c r="R43" s="207">
        <v>0.12</v>
      </c>
      <c r="S43" s="207">
        <v>38</v>
      </c>
      <c r="T43" s="207">
        <v>58</v>
      </c>
      <c r="U43" s="207">
        <v>2.6</v>
      </c>
      <c r="V43" s="207">
        <v>28.3</v>
      </c>
      <c r="W43" s="207">
        <v>43</v>
      </c>
      <c r="X43" s="207">
        <v>67</v>
      </c>
      <c r="Y43" s="207">
        <v>98</v>
      </c>
    </row>
    <row r="44" spans="1:25" s="230" customFormat="1" ht="15.6" x14ac:dyDescent="0.3">
      <c r="A44" s="202">
        <v>41</v>
      </c>
      <c r="B44" s="204" t="s">
        <v>214</v>
      </c>
      <c r="C44" s="225"/>
      <c r="D44" s="207">
        <v>92.936000000000007</v>
      </c>
      <c r="E44" s="207">
        <v>44.800000000000004</v>
      </c>
      <c r="F44" s="229">
        <v>19.900000000000002</v>
      </c>
      <c r="G44" s="229">
        <v>8.1590000000000007</v>
      </c>
      <c r="H44" s="229">
        <v>2.1520000000000001</v>
      </c>
      <c r="I44" s="229">
        <v>0.46</v>
      </c>
      <c r="J44" s="229">
        <v>0.21</v>
      </c>
      <c r="K44" s="235">
        <f t="shared" si="0"/>
        <v>0</v>
      </c>
      <c r="L44" s="229">
        <v>0.29399999999999998</v>
      </c>
      <c r="M44" s="229">
        <v>0.124</v>
      </c>
      <c r="N44" s="229">
        <v>0.42599999999999999</v>
      </c>
      <c r="O44" s="229">
        <v>8.7100000000000009</v>
      </c>
      <c r="P44" s="229">
        <v>295.74099999999999</v>
      </c>
      <c r="Q44" s="229">
        <v>41.790999999999997</v>
      </c>
      <c r="R44" s="207">
        <v>0.12</v>
      </c>
      <c r="S44" s="229">
        <v>31.338999999999999</v>
      </c>
      <c r="T44" s="229">
        <v>53.896999999999998</v>
      </c>
      <c r="U44" s="229">
        <v>1.651</v>
      </c>
      <c r="V44" s="229">
        <v>33.316000000000003</v>
      </c>
      <c r="W44" s="229">
        <v>41.54</v>
      </c>
      <c r="X44" s="229">
        <v>65.793000000000006</v>
      </c>
      <c r="Y44" s="207">
        <v>98</v>
      </c>
    </row>
    <row r="45" spans="1:25" s="230" customFormat="1" ht="15.6" x14ac:dyDescent="0.3">
      <c r="A45" s="202">
        <v>42</v>
      </c>
      <c r="B45" s="204" t="s">
        <v>215</v>
      </c>
      <c r="C45" s="225"/>
      <c r="D45" s="207">
        <v>93.186999999999998</v>
      </c>
      <c r="E45" s="207">
        <v>34.1</v>
      </c>
      <c r="F45" s="229">
        <v>11.899999999999999</v>
      </c>
      <c r="G45" s="229">
        <v>2.8719999999999999</v>
      </c>
      <c r="H45" s="229">
        <v>0.41599999999999998</v>
      </c>
      <c r="I45" s="229">
        <v>0.34699999999999998</v>
      </c>
      <c r="J45" s="229">
        <v>4.2999999999999997E-2</v>
      </c>
      <c r="K45" s="235">
        <f t="shared" si="0"/>
        <v>0</v>
      </c>
      <c r="L45" s="229">
        <v>8.2000000000000003E-2</v>
      </c>
      <c r="M45" s="229">
        <v>8.8999999999999996E-2</v>
      </c>
      <c r="N45" s="229">
        <v>0</v>
      </c>
      <c r="O45" s="229">
        <v>6.6769999999999996</v>
      </c>
      <c r="P45" s="229">
        <v>1095.201</v>
      </c>
      <c r="Q45" s="229">
        <v>59.151000000000003</v>
      </c>
      <c r="R45" s="231"/>
      <c r="S45" s="229">
        <v>12.156000000000001</v>
      </c>
      <c r="T45" s="229">
        <v>48.353999999999999</v>
      </c>
      <c r="U45" s="229">
        <v>0.90100000000000002</v>
      </c>
      <c r="V45" s="229">
        <v>0</v>
      </c>
      <c r="W45" s="229">
        <v>62.381</v>
      </c>
      <c r="X45" s="229">
        <v>80.183999999999997</v>
      </c>
      <c r="Y45" s="231"/>
    </row>
    <row r="46" spans="1:25" s="230" customFormat="1" ht="15.6" x14ac:dyDescent="0.3">
      <c r="A46" s="201">
        <v>43</v>
      </c>
      <c r="B46" s="204" t="s">
        <v>216</v>
      </c>
      <c r="C46" s="225"/>
      <c r="D46" s="207">
        <v>92.245000000000005</v>
      </c>
      <c r="E46" s="207">
        <v>38.299999999999997</v>
      </c>
      <c r="F46" s="229">
        <v>15.5</v>
      </c>
      <c r="G46" s="229">
        <v>5.9379999999999997</v>
      </c>
      <c r="H46" s="229">
        <v>1.657</v>
      </c>
      <c r="I46" s="229">
        <v>0.48</v>
      </c>
      <c r="J46" s="229">
        <v>0.19400000000000001</v>
      </c>
      <c r="K46" s="235">
        <f t="shared" si="0"/>
        <v>0</v>
      </c>
      <c r="L46" s="229">
        <v>0.222</v>
      </c>
      <c r="M46" s="229">
        <v>0.17100000000000001</v>
      </c>
      <c r="N46" s="229">
        <v>0</v>
      </c>
      <c r="O46" s="229">
        <v>11.077999999999999</v>
      </c>
      <c r="P46" s="229">
        <v>1114.0740000000001</v>
      </c>
      <c r="Q46" s="229">
        <v>77.316000000000003</v>
      </c>
      <c r="R46" s="231"/>
      <c r="S46" s="229">
        <v>31.367999999999999</v>
      </c>
      <c r="T46" s="229">
        <v>49.929000000000002</v>
      </c>
      <c r="U46" s="229">
        <v>1.9379999999999999</v>
      </c>
      <c r="V46" s="229">
        <v>32.716000000000001</v>
      </c>
      <c r="W46" s="229">
        <v>42.506</v>
      </c>
      <c r="X46" s="229">
        <v>66.409000000000006</v>
      </c>
      <c r="Y46" s="231"/>
    </row>
    <row r="47" spans="1:25" s="230" customFormat="1" ht="15.6" x14ac:dyDescent="0.3">
      <c r="A47" s="202">
        <v>44</v>
      </c>
      <c r="B47" s="204" t="s">
        <v>217</v>
      </c>
      <c r="C47" s="225"/>
      <c r="D47" s="207">
        <v>89.974999999999994</v>
      </c>
      <c r="E47" s="207">
        <v>67.900000000000006</v>
      </c>
      <c r="F47" s="229">
        <v>41.099999999999994</v>
      </c>
      <c r="G47" s="229">
        <v>7.2160000000000002</v>
      </c>
      <c r="H47" s="229">
        <v>2.8809999999999998</v>
      </c>
      <c r="I47" s="229">
        <v>1.81</v>
      </c>
      <c r="J47" s="229">
        <v>0.12</v>
      </c>
      <c r="K47" s="235">
        <f t="shared" si="0"/>
        <v>0</v>
      </c>
      <c r="L47" s="229">
        <v>0.35199999999999998</v>
      </c>
      <c r="M47" s="229">
        <v>0</v>
      </c>
      <c r="N47" s="229">
        <v>0</v>
      </c>
      <c r="O47" s="229">
        <v>10.071</v>
      </c>
      <c r="P47" s="229">
        <v>143.56299999999999</v>
      </c>
      <c r="Q47" s="229">
        <v>36.122</v>
      </c>
      <c r="R47" s="231"/>
      <c r="S47" s="229">
        <v>9.8629999999999995</v>
      </c>
      <c r="T47" s="229">
        <v>64.444999999999993</v>
      </c>
      <c r="U47" s="229">
        <v>0</v>
      </c>
      <c r="V47" s="229">
        <v>0</v>
      </c>
      <c r="W47" s="229">
        <v>43.393000000000001</v>
      </c>
      <c r="X47" s="229">
        <v>55.043999999999997</v>
      </c>
      <c r="Y47" s="231"/>
    </row>
    <row r="48" spans="1:25" s="230" customFormat="1" ht="15.6" x14ac:dyDescent="0.3">
      <c r="A48" s="202">
        <v>45</v>
      </c>
      <c r="B48" s="204" t="s">
        <v>218</v>
      </c>
      <c r="C48" s="225"/>
      <c r="D48" s="207">
        <v>91.141000000000005</v>
      </c>
      <c r="E48" s="207">
        <v>53.300000000000004</v>
      </c>
      <c r="F48" s="229">
        <v>27.800000000000004</v>
      </c>
      <c r="G48" s="229">
        <v>14.76</v>
      </c>
      <c r="H48" s="229">
        <v>2.2909999999999999</v>
      </c>
      <c r="I48" s="229">
        <v>0.54800000000000004</v>
      </c>
      <c r="J48" s="229">
        <v>0.27200000000000002</v>
      </c>
      <c r="K48" s="235">
        <f t="shared" si="0"/>
        <v>0</v>
      </c>
      <c r="L48" s="229">
        <v>0.20899999999999999</v>
      </c>
      <c r="M48" s="229">
        <v>0.187</v>
      </c>
      <c r="N48" s="229">
        <v>0</v>
      </c>
      <c r="O48" s="229">
        <v>8.6969999999999992</v>
      </c>
      <c r="P48" s="229">
        <v>553.54999999999995</v>
      </c>
      <c r="Q48" s="229">
        <v>46.863999999999997</v>
      </c>
      <c r="R48" s="231"/>
      <c r="S48" s="229">
        <v>30.376999999999999</v>
      </c>
      <c r="T48" s="229">
        <v>58.420999999999999</v>
      </c>
      <c r="U48" s="229">
        <v>2.2839999999999998</v>
      </c>
      <c r="V48" s="229">
        <v>0</v>
      </c>
      <c r="W48" s="229">
        <v>38.045000000000002</v>
      </c>
      <c r="X48" s="229">
        <v>55.917999999999999</v>
      </c>
      <c r="Y48" s="231"/>
    </row>
    <row r="49" spans="1:25" s="230" customFormat="1" ht="15.6" x14ac:dyDescent="0.3">
      <c r="A49" s="201">
        <v>46</v>
      </c>
      <c r="B49" s="204" t="s">
        <v>219</v>
      </c>
      <c r="C49" s="225"/>
      <c r="D49" s="207">
        <v>91.293999999999997</v>
      </c>
      <c r="E49" s="207">
        <v>53</v>
      </c>
      <c r="F49" s="229">
        <v>27.400000000000002</v>
      </c>
      <c r="G49" s="229">
        <v>11.359</v>
      </c>
      <c r="H49" s="229">
        <v>2.0569999999999999</v>
      </c>
      <c r="I49" s="229">
        <v>0.34899999999999998</v>
      </c>
      <c r="J49" s="229">
        <v>0.23</v>
      </c>
      <c r="K49" s="235">
        <f t="shared" si="0"/>
        <v>0</v>
      </c>
      <c r="L49" s="229">
        <v>0.14699999999999999</v>
      </c>
      <c r="M49" s="229">
        <v>0.15</v>
      </c>
      <c r="N49" s="229">
        <v>0.315</v>
      </c>
      <c r="O49" s="229">
        <v>6.7850000000000001</v>
      </c>
      <c r="P49" s="229">
        <v>237.28100000000001</v>
      </c>
      <c r="Q49" s="229">
        <v>39.622</v>
      </c>
      <c r="R49" s="231"/>
      <c r="S49" s="229">
        <v>24.904</v>
      </c>
      <c r="T49" s="229">
        <v>58.658000000000001</v>
      </c>
      <c r="U49" s="229">
        <v>2.052</v>
      </c>
      <c r="V49" s="229">
        <v>30.513999999999999</v>
      </c>
      <c r="W49" s="229">
        <v>37.947000000000003</v>
      </c>
      <c r="X49" s="229">
        <v>58.555</v>
      </c>
      <c r="Y49" s="231"/>
    </row>
    <row r="50" spans="1:25" s="230" customFormat="1" ht="15.6" x14ac:dyDescent="0.3">
      <c r="A50" s="202">
        <v>47</v>
      </c>
      <c r="B50" s="204" t="s">
        <v>220</v>
      </c>
      <c r="C50" s="225"/>
      <c r="D50" s="207">
        <v>91.058999999999997</v>
      </c>
      <c r="E50" s="207">
        <v>51.4</v>
      </c>
      <c r="F50" s="229">
        <v>26</v>
      </c>
      <c r="G50" s="229">
        <v>10.515000000000001</v>
      </c>
      <c r="H50" s="229">
        <v>1.7549999999999999</v>
      </c>
      <c r="I50" s="229">
        <v>0.33900000000000002</v>
      </c>
      <c r="J50" s="229">
        <v>0.214</v>
      </c>
      <c r="K50" s="235">
        <f t="shared" si="0"/>
        <v>0</v>
      </c>
      <c r="L50" s="229">
        <v>0.14499999999999999</v>
      </c>
      <c r="M50" s="229">
        <v>0.158</v>
      </c>
      <c r="N50" s="229">
        <v>0.436</v>
      </c>
      <c r="O50" s="229">
        <v>9.9700000000000006</v>
      </c>
      <c r="P50" s="229">
        <v>342.72699999999998</v>
      </c>
      <c r="Q50" s="229">
        <v>60.125</v>
      </c>
      <c r="R50" s="207">
        <v>0.2</v>
      </c>
      <c r="S50" s="229">
        <v>23.61</v>
      </c>
      <c r="T50" s="229">
        <v>57.665999999999997</v>
      </c>
      <c r="U50" s="229">
        <v>2.0270000000000001</v>
      </c>
      <c r="V50" s="229">
        <v>29.498000000000001</v>
      </c>
      <c r="W50" s="229">
        <v>37.018000000000001</v>
      </c>
      <c r="X50" s="229">
        <v>59.648000000000003</v>
      </c>
      <c r="Y50" s="207">
        <v>98</v>
      </c>
    </row>
    <row r="51" spans="1:25" s="230" customFormat="1" ht="15.6" x14ac:dyDescent="0.3">
      <c r="A51" s="202">
        <v>48</v>
      </c>
      <c r="B51" s="203" t="s">
        <v>27</v>
      </c>
      <c r="C51" s="226"/>
      <c r="D51" s="207">
        <v>88</v>
      </c>
      <c r="E51" s="207">
        <v>56</v>
      </c>
      <c r="F51" s="207">
        <v>31</v>
      </c>
      <c r="G51" s="207">
        <v>8.5</v>
      </c>
      <c r="H51" s="207">
        <v>1</v>
      </c>
      <c r="I51" s="207">
        <v>0.15</v>
      </c>
      <c r="J51" s="207">
        <v>0.2</v>
      </c>
      <c r="K51" s="235">
        <f t="shared" si="0"/>
        <v>0</v>
      </c>
      <c r="L51" s="207">
        <v>0.12</v>
      </c>
      <c r="M51" s="207">
        <v>0.22</v>
      </c>
      <c r="N51" s="207">
        <v>0.1</v>
      </c>
      <c r="O51" s="207">
        <v>22</v>
      </c>
      <c r="P51" s="207">
        <v>74</v>
      </c>
      <c r="Q51" s="207">
        <v>40</v>
      </c>
      <c r="R51" s="207">
        <v>0.09</v>
      </c>
      <c r="S51" s="207">
        <v>32</v>
      </c>
      <c r="T51" s="207">
        <v>48</v>
      </c>
      <c r="U51" s="207">
        <v>2.1</v>
      </c>
      <c r="V51" s="207">
        <v>31</v>
      </c>
      <c r="W51" s="207">
        <v>42</v>
      </c>
      <c r="X51" s="207">
        <v>58</v>
      </c>
      <c r="Y51" s="207">
        <v>98</v>
      </c>
    </row>
    <row r="52" spans="1:25" s="230" customFormat="1" ht="15.6" x14ac:dyDescent="0.3">
      <c r="A52" s="201">
        <v>49</v>
      </c>
      <c r="B52" s="203" t="s">
        <v>26</v>
      </c>
      <c r="C52" s="226"/>
      <c r="D52" s="207">
        <v>87</v>
      </c>
      <c r="E52" s="207">
        <v>70</v>
      </c>
      <c r="F52" s="207">
        <v>40</v>
      </c>
      <c r="G52" s="207">
        <v>11.5</v>
      </c>
      <c r="H52" s="207">
        <v>1.05</v>
      </c>
      <c r="I52" s="207">
        <v>0.15</v>
      </c>
      <c r="J52" s="207">
        <v>0.2</v>
      </c>
      <c r="K52" s="235">
        <f t="shared" si="0"/>
        <v>0</v>
      </c>
      <c r="L52" s="207">
        <v>0.4</v>
      </c>
      <c r="M52" s="207">
        <v>0.22</v>
      </c>
      <c r="N52" s="207">
        <v>0.1</v>
      </c>
      <c r="O52" s="207">
        <v>22</v>
      </c>
      <c r="P52" s="207">
        <v>74</v>
      </c>
      <c r="Q52" s="207">
        <v>42</v>
      </c>
      <c r="R52" s="207">
        <v>0.19</v>
      </c>
      <c r="S52" s="207">
        <v>32</v>
      </c>
      <c r="T52" s="207">
        <v>58</v>
      </c>
      <c r="U52" s="207">
        <v>2.2000000000000002</v>
      </c>
      <c r="V52" s="207">
        <v>28.1</v>
      </c>
      <c r="W52" s="207">
        <v>38</v>
      </c>
      <c r="X52" s="207">
        <v>66</v>
      </c>
      <c r="Y52" s="207">
        <v>98</v>
      </c>
    </row>
    <row r="53" spans="1:25" s="230" customFormat="1" ht="15.6" x14ac:dyDescent="0.3">
      <c r="A53" s="202">
        <v>50</v>
      </c>
      <c r="B53" s="203" t="s">
        <v>28</v>
      </c>
      <c r="C53" s="226"/>
      <c r="D53" s="207">
        <v>89</v>
      </c>
      <c r="E53" s="207">
        <v>29</v>
      </c>
      <c r="F53" s="207">
        <v>5</v>
      </c>
      <c r="G53" s="207">
        <v>3.6</v>
      </c>
      <c r="H53" s="207">
        <v>1.42</v>
      </c>
      <c r="I53" s="207">
        <v>0.18</v>
      </c>
      <c r="J53" s="207">
        <v>0.05</v>
      </c>
      <c r="K53" s="235">
        <f t="shared" si="0"/>
        <v>0</v>
      </c>
      <c r="L53" s="207">
        <v>0.12</v>
      </c>
      <c r="M53" s="207">
        <v>0.19</v>
      </c>
      <c r="N53" s="207">
        <v>0.05</v>
      </c>
      <c r="O53" s="207">
        <v>4</v>
      </c>
      <c r="P53" s="207">
        <v>157</v>
      </c>
      <c r="Q53" s="207">
        <v>41</v>
      </c>
      <c r="R53" s="207">
        <v>0.09</v>
      </c>
      <c r="S53" s="207">
        <v>29</v>
      </c>
      <c r="T53" s="207">
        <v>41</v>
      </c>
      <c r="U53" s="207">
        <v>1.8</v>
      </c>
      <c r="V53" s="207">
        <v>41.6</v>
      </c>
      <c r="W53" s="207">
        <v>58</v>
      </c>
      <c r="X53" s="207">
        <v>81</v>
      </c>
      <c r="Y53" s="207">
        <v>98</v>
      </c>
    </row>
    <row r="54" spans="1:25" s="230" customFormat="1" ht="15.6" x14ac:dyDescent="0.3">
      <c r="A54" s="201">
        <v>51</v>
      </c>
      <c r="B54" s="203"/>
      <c r="C54" s="226"/>
      <c r="D54" s="207"/>
      <c r="E54" s="207"/>
      <c r="F54" s="207"/>
      <c r="G54" s="207"/>
      <c r="H54" s="207"/>
      <c r="I54" s="207"/>
      <c r="J54" s="207"/>
      <c r="K54" s="235">
        <f t="shared" si="0"/>
        <v>0</v>
      </c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</row>
    <row r="55" spans="1:25" s="230" customFormat="1" ht="15.6" x14ac:dyDescent="0.3">
      <c r="A55" s="202">
        <v>52</v>
      </c>
      <c r="B55" s="203"/>
      <c r="C55" s="226"/>
      <c r="D55" s="207"/>
      <c r="E55" s="207"/>
      <c r="F55" s="207"/>
      <c r="G55" s="207"/>
      <c r="H55" s="207"/>
      <c r="I55" s="207"/>
      <c r="J55" s="207"/>
      <c r="K55" s="235">
        <f t="shared" si="0"/>
        <v>0</v>
      </c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</row>
    <row r="56" spans="1:25" s="230" customFormat="1" ht="15.6" x14ac:dyDescent="0.3">
      <c r="A56" s="201">
        <v>53</v>
      </c>
      <c r="B56" s="203"/>
      <c r="C56" s="226"/>
      <c r="D56" s="207"/>
      <c r="E56" s="207"/>
      <c r="F56" s="207"/>
      <c r="G56" s="207"/>
      <c r="H56" s="207"/>
      <c r="I56" s="207"/>
      <c r="J56" s="207"/>
      <c r="K56" s="235">
        <f t="shared" si="0"/>
        <v>0</v>
      </c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</row>
    <row r="57" spans="1:25" s="230" customFormat="1" ht="15.6" x14ac:dyDescent="0.3">
      <c r="A57" s="202">
        <v>54</v>
      </c>
      <c r="B57" s="203"/>
      <c r="C57" s="226"/>
      <c r="D57" s="207"/>
      <c r="E57" s="207"/>
      <c r="F57" s="207"/>
      <c r="G57" s="207"/>
      <c r="H57" s="207"/>
      <c r="I57" s="207"/>
      <c r="J57" s="207"/>
      <c r="K57" s="235">
        <f t="shared" si="0"/>
        <v>0</v>
      </c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</row>
    <row r="58" spans="1:25" s="230" customFormat="1" ht="15.6" x14ac:dyDescent="0.3">
      <c r="A58" s="201">
        <v>55</v>
      </c>
      <c r="B58" s="203"/>
      <c r="C58" s="226"/>
      <c r="D58" s="207"/>
      <c r="E58" s="207"/>
      <c r="F58" s="207"/>
      <c r="G58" s="207"/>
      <c r="H58" s="207"/>
      <c r="I58" s="207"/>
      <c r="J58" s="207"/>
      <c r="K58" s="235">
        <f t="shared" si="0"/>
        <v>0</v>
      </c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s="230" customFormat="1" ht="15.6" x14ac:dyDescent="0.3">
      <c r="A59" s="202">
        <v>56</v>
      </c>
      <c r="B59" s="203"/>
      <c r="C59" s="226"/>
      <c r="D59" s="207"/>
      <c r="E59" s="207"/>
      <c r="F59" s="207"/>
      <c r="G59" s="207"/>
      <c r="H59" s="207"/>
      <c r="I59" s="207"/>
      <c r="J59" s="207"/>
      <c r="K59" s="235">
        <f t="shared" si="0"/>
        <v>0</v>
      </c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s="230" customFormat="1" ht="15.6" x14ac:dyDescent="0.3">
      <c r="A60" s="201">
        <v>57</v>
      </c>
      <c r="B60" s="203"/>
      <c r="C60" s="226"/>
      <c r="D60" s="207"/>
      <c r="E60" s="207"/>
      <c r="F60" s="207"/>
      <c r="G60" s="207"/>
      <c r="H60" s="207"/>
      <c r="I60" s="207"/>
      <c r="J60" s="207"/>
      <c r="K60" s="235">
        <f t="shared" si="0"/>
        <v>0</v>
      </c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s="230" customFormat="1" ht="15.6" x14ac:dyDescent="0.3">
      <c r="A61" s="202">
        <v>58</v>
      </c>
      <c r="B61" s="203"/>
      <c r="C61" s="226"/>
      <c r="D61" s="207"/>
      <c r="E61" s="207"/>
      <c r="F61" s="207"/>
      <c r="G61" s="207"/>
      <c r="H61" s="207"/>
      <c r="I61" s="207"/>
      <c r="J61" s="207"/>
      <c r="K61" s="235">
        <f t="shared" si="0"/>
        <v>0</v>
      </c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5" s="230" customFormat="1" ht="15.6" x14ac:dyDescent="0.3">
      <c r="A62" s="201">
        <v>59</v>
      </c>
      <c r="B62" s="203"/>
      <c r="C62" s="226"/>
      <c r="D62" s="207"/>
      <c r="E62" s="207"/>
      <c r="F62" s="207"/>
      <c r="G62" s="207"/>
      <c r="H62" s="207"/>
      <c r="I62" s="207"/>
      <c r="J62" s="207"/>
      <c r="K62" s="235">
        <f t="shared" si="0"/>
        <v>0</v>
      </c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</row>
    <row r="63" spans="1:25" s="230" customFormat="1" ht="15.6" x14ac:dyDescent="0.3">
      <c r="A63" s="202">
        <v>60</v>
      </c>
      <c r="B63" s="203"/>
      <c r="C63" s="226"/>
      <c r="D63" s="207"/>
      <c r="E63" s="207"/>
      <c r="F63" s="207"/>
      <c r="G63" s="207"/>
      <c r="H63" s="207"/>
      <c r="I63" s="207"/>
      <c r="J63" s="207"/>
      <c r="K63" s="235">
        <f t="shared" si="0"/>
        <v>0</v>
      </c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s="230" customFormat="1" ht="15.6" x14ac:dyDescent="0.3">
      <c r="A64" s="199" t="s">
        <v>221</v>
      </c>
      <c r="B64" s="231"/>
      <c r="C64" s="225"/>
      <c r="D64" s="231"/>
      <c r="E64" s="231"/>
      <c r="F64" s="229"/>
      <c r="G64" s="229"/>
      <c r="H64" s="229"/>
      <c r="I64" s="229"/>
      <c r="J64" s="229"/>
      <c r="K64" s="235"/>
      <c r="L64" s="229"/>
      <c r="M64" s="229"/>
      <c r="N64" s="229"/>
      <c r="O64" s="229"/>
      <c r="P64" s="229"/>
      <c r="Q64" s="229"/>
      <c r="R64" s="231"/>
      <c r="S64" s="229"/>
      <c r="T64" s="229"/>
      <c r="U64" s="229"/>
      <c r="V64" s="229"/>
      <c r="W64" s="229"/>
      <c r="X64" s="229"/>
      <c r="Y64" s="231"/>
    </row>
    <row r="65" spans="1:25" s="230" customFormat="1" ht="15.6" x14ac:dyDescent="0.3">
      <c r="A65" s="202">
        <v>101</v>
      </c>
      <c r="B65" s="204" t="s">
        <v>222</v>
      </c>
      <c r="C65" s="225"/>
      <c r="D65" s="207">
        <v>42.223999999999997</v>
      </c>
      <c r="E65" s="207">
        <v>65.5</v>
      </c>
      <c r="F65" s="229">
        <v>38.9</v>
      </c>
      <c r="G65" s="229">
        <v>20.100000000000001</v>
      </c>
      <c r="H65" s="229">
        <v>2.6640000000000001</v>
      </c>
      <c r="I65" s="229">
        <v>1.03</v>
      </c>
      <c r="J65" s="229">
        <v>0.35899999999999999</v>
      </c>
      <c r="K65" s="235">
        <f t="shared" si="0"/>
        <v>0</v>
      </c>
      <c r="L65" s="229">
        <v>0.30199999999999999</v>
      </c>
      <c r="M65" s="229">
        <v>0.20499999999999999</v>
      </c>
      <c r="N65" s="229">
        <v>0</v>
      </c>
      <c r="O65" s="229">
        <v>9.6010000000000009</v>
      </c>
      <c r="P65" s="229">
        <v>406.43599999999998</v>
      </c>
      <c r="Q65" s="229">
        <v>55.156999999999996</v>
      </c>
      <c r="R65" s="231"/>
      <c r="S65" s="229">
        <v>37.542000000000002</v>
      </c>
      <c r="T65" s="229">
        <v>65.201999999999998</v>
      </c>
      <c r="U65" s="229">
        <v>3.41</v>
      </c>
      <c r="V65" s="229">
        <v>0</v>
      </c>
      <c r="W65" s="229">
        <v>31.631</v>
      </c>
      <c r="X65" s="229">
        <v>43.241</v>
      </c>
      <c r="Y65" s="231"/>
    </row>
    <row r="66" spans="1:25" s="230" customFormat="1" ht="15.6" x14ac:dyDescent="0.3">
      <c r="A66" s="202">
        <v>102</v>
      </c>
      <c r="B66" s="204" t="s">
        <v>223</v>
      </c>
      <c r="C66" s="225"/>
      <c r="D66" s="207">
        <v>11.352</v>
      </c>
      <c r="E66" s="207">
        <v>15</v>
      </c>
      <c r="F66" s="229">
        <v>0</v>
      </c>
      <c r="G66" s="229">
        <v>6.1890000000000001</v>
      </c>
      <c r="H66" s="229">
        <v>4.0000000000000001E-3</v>
      </c>
      <c r="I66" s="229">
        <v>0.11700000000000001</v>
      </c>
      <c r="J66" s="229">
        <v>0.115</v>
      </c>
      <c r="K66" s="235">
        <f t="shared" si="0"/>
        <v>0</v>
      </c>
      <c r="L66" s="229">
        <v>2.0230000000000001</v>
      </c>
      <c r="M66" s="229">
        <v>0.60499999999999998</v>
      </c>
      <c r="N66" s="229">
        <v>0.108</v>
      </c>
      <c r="O66" s="229">
        <v>174.68700000000001</v>
      </c>
      <c r="P66" s="229">
        <v>10.791</v>
      </c>
      <c r="Q66" s="229">
        <v>3.4000000000000002E-2</v>
      </c>
      <c r="R66" s="231"/>
      <c r="S66" s="229">
        <v>9.7780000000000005</v>
      </c>
      <c r="T66" s="229">
        <v>0.25800000000000001</v>
      </c>
      <c r="U66" s="229">
        <v>5.4130000000000003</v>
      </c>
      <c r="V66" s="229">
        <v>0</v>
      </c>
      <c r="W66" s="229">
        <v>35.049999999999997</v>
      </c>
      <c r="X66" s="229">
        <v>79.856999999999999</v>
      </c>
      <c r="Y66" s="180"/>
    </row>
    <row r="67" spans="1:25" s="230" customFormat="1" ht="15.6" x14ac:dyDescent="0.3">
      <c r="A67" s="202">
        <v>103</v>
      </c>
      <c r="B67" s="204" t="s">
        <v>224</v>
      </c>
      <c r="C67" s="225"/>
      <c r="D67" s="207">
        <v>55.537999999999997</v>
      </c>
      <c r="E67" s="207">
        <v>37.5</v>
      </c>
      <c r="F67" s="229">
        <v>0</v>
      </c>
      <c r="G67" s="229">
        <v>9.7420000000000009</v>
      </c>
      <c r="H67" s="229">
        <v>1.2999999999999999E-2</v>
      </c>
      <c r="I67" s="229">
        <v>0.24</v>
      </c>
      <c r="J67" s="229">
        <v>0.16200000000000001</v>
      </c>
      <c r="K67" s="235">
        <f t="shared" si="0"/>
        <v>0</v>
      </c>
      <c r="L67" s="229">
        <v>1.37</v>
      </c>
      <c r="M67" s="229">
        <v>0</v>
      </c>
      <c r="N67" s="229">
        <v>0</v>
      </c>
      <c r="O67" s="229">
        <v>633.04</v>
      </c>
      <c r="P67" s="229">
        <v>32.063000000000002</v>
      </c>
      <c r="Q67" s="229">
        <v>4.1820000000000004</v>
      </c>
      <c r="R67" s="231"/>
      <c r="S67" s="229">
        <v>21.704999999999998</v>
      </c>
      <c r="T67" s="229">
        <v>0.64400000000000002</v>
      </c>
      <c r="U67" s="229">
        <v>0</v>
      </c>
      <c r="V67" s="229">
        <v>0</v>
      </c>
      <c r="W67" s="229">
        <v>37.122999999999998</v>
      </c>
      <c r="X67" s="229">
        <v>49.753</v>
      </c>
      <c r="Y67" s="180"/>
    </row>
    <row r="68" spans="1:25" s="230" customFormat="1" ht="15.6" x14ac:dyDescent="0.3">
      <c r="A68" s="202">
        <v>104</v>
      </c>
      <c r="B68" s="204" t="s">
        <v>225</v>
      </c>
      <c r="C68" s="225"/>
      <c r="D68" s="207">
        <v>64.286000000000001</v>
      </c>
      <c r="E68" s="207">
        <v>62</v>
      </c>
      <c r="F68" s="229">
        <v>35.699999999999996</v>
      </c>
      <c r="G68" s="229">
        <v>12.704000000000001</v>
      </c>
      <c r="H68" s="229">
        <v>2.4</v>
      </c>
      <c r="I68" s="229">
        <v>0.36499999999999999</v>
      </c>
      <c r="J68" s="229">
        <v>0.28599999999999998</v>
      </c>
      <c r="K68" s="235">
        <f t="shared" si="0"/>
        <v>0</v>
      </c>
      <c r="L68" s="229">
        <v>0.16500000000000001</v>
      </c>
      <c r="M68" s="229">
        <v>0.16500000000000001</v>
      </c>
      <c r="N68" s="229">
        <v>0</v>
      </c>
      <c r="O68" s="229">
        <v>8.8379999999999992</v>
      </c>
      <c r="P68" s="229">
        <v>436.67099999999999</v>
      </c>
      <c r="Q68" s="229">
        <v>56.819000000000003</v>
      </c>
      <c r="R68" s="231"/>
      <c r="S68" s="229">
        <v>30.356999999999999</v>
      </c>
      <c r="T68" s="229">
        <v>64.218000000000004</v>
      </c>
      <c r="U68" s="229">
        <v>2.698</v>
      </c>
      <c r="V68" s="229">
        <v>28.193000000000001</v>
      </c>
      <c r="W68" s="229">
        <v>33.737000000000002</v>
      </c>
      <c r="X68" s="229">
        <v>56.24</v>
      </c>
      <c r="Y68" s="180"/>
    </row>
    <row r="69" spans="1:25" s="230" customFormat="1" ht="15.6" x14ac:dyDescent="0.3">
      <c r="A69" s="202">
        <v>105</v>
      </c>
      <c r="B69" s="204" t="s">
        <v>226</v>
      </c>
      <c r="C69" s="225"/>
      <c r="D69" s="207">
        <v>67.244</v>
      </c>
      <c r="E69" s="207">
        <v>59.5</v>
      </c>
      <c r="F69" s="229">
        <v>33.4</v>
      </c>
      <c r="G69" s="229">
        <v>13.246</v>
      </c>
      <c r="H69" s="229">
        <v>2.39</v>
      </c>
      <c r="I69" s="229">
        <v>0.45100000000000001</v>
      </c>
      <c r="J69" s="229">
        <v>0.28899999999999998</v>
      </c>
      <c r="K69" s="235">
        <f t="shared" ref="K69:K132" si="1">C69</f>
        <v>0</v>
      </c>
      <c r="L69" s="229">
        <v>0.34100000000000003</v>
      </c>
      <c r="M69" s="229">
        <v>0.17699999999999999</v>
      </c>
      <c r="N69" s="229">
        <v>0.23300000000000001</v>
      </c>
      <c r="O69" s="229">
        <v>8.5090000000000003</v>
      </c>
      <c r="P69" s="229">
        <v>146.84200000000001</v>
      </c>
      <c r="Q69" s="229">
        <v>73.745999999999995</v>
      </c>
      <c r="R69" s="231"/>
      <c r="S69" s="229">
        <v>25.622</v>
      </c>
      <c r="T69" s="229">
        <v>62.9</v>
      </c>
      <c r="U69" s="229">
        <v>2.605</v>
      </c>
      <c r="V69" s="229">
        <v>0</v>
      </c>
      <c r="W69" s="229">
        <v>35.26</v>
      </c>
      <c r="X69" s="229">
        <v>60.448999999999998</v>
      </c>
      <c r="Y69" s="180"/>
    </row>
    <row r="70" spans="1:25" s="230" customFormat="1" ht="15.6" x14ac:dyDescent="0.3">
      <c r="A70" s="202">
        <v>106</v>
      </c>
      <c r="B70" s="204" t="s">
        <v>227</v>
      </c>
      <c r="C70" s="225"/>
      <c r="D70" s="207">
        <v>26.645</v>
      </c>
      <c r="E70" s="207">
        <v>44.3</v>
      </c>
      <c r="F70" s="229">
        <v>19.400000000000002</v>
      </c>
      <c r="G70" s="229">
        <v>6.2939999999999996</v>
      </c>
      <c r="H70" s="229">
        <v>1.6819999999999999</v>
      </c>
      <c r="I70" s="229">
        <v>0.31</v>
      </c>
      <c r="J70" s="229">
        <v>0.157</v>
      </c>
      <c r="K70" s="235">
        <f t="shared" si="1"/>
        <v>0</v>
      </c>
      <c r="L70" s="229">
        <v>0.13600000000000001</v>
      </c>
      <c r="M70" s="229">
        <v>0.20699999999999999</v>
      </c>
      <c r="N70" s="229">
        <v>0</v>
      </c>
      <c r="O70" s="229">
        <v>5.6239999999999997</v>
      </c>
      <c r="P70" s="229">
        <v>546.11500000000001</v>
      </c>
      <c r="Q70" s="229">
        <v>41.89</v>
      </c>
      <c r="R70" s="231"/>
      <c r="S70" s="229">
        <v>23.02</v>
      </c>
      <c r="T70" s="229">
        <v>54.073</v>
      </c>
      <c r="U70" s="229">
        <v>1.91</v>
      </c>
      <c r="V70" s="229">
        <v>34.511000000000003</v>
      </c>
      <c r="W70" s="229">
        <v>42.868000000000002</v>
      </c>
      <c r="X70" s="229">
        <v>69.841999999999999</v>
      </c>
      <c r="Y70" s="180"/>
    </row>
    <row r="71" spans="1:25" s="230" customFormat="1" ht="15.6" x14ac:dyDescent="0.3">
      <c r="A71" s="202">
        <v>107</v>
      </c>
      <c r="B71" s="204" t="s">
        <v>228</v>
      </c>
      <c r="C71" s="225"/>
      <c r="D71" s="207">
        <v>41.231999999999999</v>
      </c>
      <c r="E71" s="207">
        <v>60.099999999999994</v>
      </c>
      <c r="F71" s="229">
        <v>34</v>
      </c>
      <c r="G71" s="229">
        <v>16.669</v>
      </c>
      <c r="H71" s="229">
        <v>2.76</v>
      </c>
      <c r="I71" s="229">
        <v>0.71099999999999997</v>
      </c>
      <c r="J71" s="229">
        <v>0.35299999999999998</v>
      </c>
      <c r="K71" s="235">
        <f t="shared" si="1"/>
        <v>0</v>
      </c>
      <c r="L71" s="229">
        <v>0.222</v>
      </c>
      <c r="M71" s="229">
        <v>0.19900000000000001</v>
      </c>
      <c r="N71" s="229">
        <v>0</v>
      </c>
      <c r="O71" s="229">
        <v>9.2070000000000007</v>
      </c>
      <c r="P71" s="229">
        <v>500.19099999999997</v>
      </c>
      <c r="Q71" s="229">
        <v>38.741999999999997</v>
      </c>
      <c r="R71" s="231"/>
      <c r="S71" s="229">
        <v>27.817</v>
      </c>
      <c r="T71" s="229">
        <v>62.456000000000003</v>
      </c>
      <c r="U71" s="229">
        <v>3.3769999999999998</v>
      </c>
      <c r="V71" s="229">
        <v>0</v>
      </c>
      <c r="W71" s="229">
        <v>35.177</v>
      </c>
      <c r="X71" s="229">
        <v>53.808</v>
      </c>
      <c r="Y71" s="180"/>
    </row>
    <row r="72" spans="1:25" s="230" customFormat="1" ht="15.6" x14ac:dyDescent="0.3">
      <c r="A72" s="202">
        <v>108</v>
      </c>
      <c r="B72" s="204" t="s">
        <v>229</v>
      </c>
      <c r="C72" s="225"/>
      <c r="D72" s="207">
        <v>38.484000000000002</v>
      </c>
      <c r="E72" s="207">
        <v>59.699999999999996</v>
      </c>
      <c r="F72" s="229">
        <v>33.6</v>
      </c>
      <c r="G72" s="229">
        <v>14.49</v>
      </c>
      <c r="H72" s="229">
        <v>2.3239999999999998</v>
      </c>
      <c r="I72" s="229">
        <v>0.438</v>
      </c>
      <c r="J72" s="229">
        <v>0.33500000000000002</v>
      </c>
      <c r="K72" s="235">
        <f t="shared" si="1"/>
        <v>0</v>
      </c>
      <c r="L72" s="229">
        <v>0.193</v>
      </c>
      <c r="M72" s="229">
        <v>0.192</v>
      </c>
      <c r="N72" s="229">
        <v>0</v>
      </c>
      <c r="O72" s="229">
        <v>7.62</v>
      </c>
      <c r="P72" s="229">
        <v>449.113</v>
      </c>
      <c r="Q72" s="229">
        <v>35.500999999999998</v>
      </c>
      <c r="R72" s="231"/>
      <c r="S72" s="229">
        <v>39.908000000000001</v>
      </c>
      <c r="T72" s="229">
        <v>62.231000000000002</v>
      </c>
      <c r="U72" s="229">
        <v>3.34</v>
      </c>
      <c r="V72" s="229">
        <v>0</v>
      </c>
      <c r="W72" s="229">
        <v>32.710999999999999</v>
      </c>
      <c r="X72" s="229">
        <v>54.127000000000002</v>
      </c>
      <c r="Y72" s="180"/>
    </row>
    <row r="73" spans="1:25" s="230" customFormat="1" ht="15.6" x14ac:dyDescent="0.3">
      <c r="A73" s="202">
        <v>109</v>
      </c>
      <c r="B73" s="204" t="s">
        <v>230</v>
      </c>
      <c r="C73" s="225"/>
      <c r="D73" s="207">
        <v>35.402000000000001</v>
      </c>
      <c r="E73" s="207">
        <v>53.800000000000004</v>
      </c>
      <c r="F73" s="229">
        <v>28.199999999999996</v>
      </c>
      <c r="G73" s="229">
        <v>16.634</v>
      </c>
      <c r="H73" s="229">
        <v>2.262</v>
      </c>
      <c r="I73" s="229">
        <v>0.51</v>
      </c>
      <c r="J73" s="229">
        <v>0.314</v>
      </c>
      <c r="K73" s="235">
        <f t="shared" si="1"/>
        <v>0</v>
      </c>
      <c r="L73" s="229">
        <v>0.22700000000000001</v>
      </c>
      <c r="M73" s="229">
        <v>0.27400000000000002</v>
      </c>
      <c r="N73" s="229">
        <v>0</v>
      </c>
      <c r="O73" s="229">
        <v>11.177</v>
      </c>
      <c r="P73" s="229">
        <v>257.28500000000003</v>
      </c>
      <c r="Q73" s="229">
        <v>59.435000000000002</v>
      </c>
      <c r="R73" s="231"/>
      <c r="S73" s="229">
        <v>55.484999999999999</v>
      </c>
      <c r="T73" s="229">
        <v>59.463999999999999</v>
      </c>
      <c r="U73" s="229">
        <v>2.8519999999999999</v>
      </c>
      <c r="V73" s="229">
        <v>35.179000000000002</v>
      </c>
      <c r="W73" s="229">
        <v>36.264000000000003</v>
      </c>
      <c r="X73" s="229">
        <v>70.045000000000002</v>
      </c>
      <c r="Y73" s="180"/>
    </row>
    <row r="74" spans="1:25" s="230" customFormat="1" ht="15.6" x14ac:dyDescent="0.3">
      <c r="A74" s="202">
        <v>110</v>
      </c>
      <c r="B74" s="204" t="s">
        <v>231</v>
      </c>
      <c r="C74" s="225"/>
      <c r="D74" s="207">
        <v>24.33</v>
      </c>
      <c r="E74" s="207">
        <v>71.2</v>
      </c>
      <c r="F74" s="229">
        <v>44</v>
      </c>
      <c r="G74" s="229">
        <v>19.173999999999999</v>
      </c>
      <c r="H74" s="229">
        <v>3.3319999999999999</v>
      </c>
      <c r="I74" s="229">
        <v>1.706</v>
      </c>
      <c r="J74" s="229">
        <v>0.39200000000000002</v>
      </c>
      <c r="K74" s="235">
        <f t="shared" si="1"/>
        <v>0</v>
      </c>
      <c r="L74" s="229">
        <v>0.34899999999999998</v>
      </c>
      <c r="M74" s="229">
        <v>0.60199999999999998</v>
      </c>
      <c r="N74" s="229">
        <v>0</v>
      </c>
      <c r="O74" s="229">
        <v>7.923</v>
      </c>
      <c r="P74" s="229">
        <v>442.42399999999998</v>
      </c>
      <c r="Q74" s="229">
        <v>52.259</v>
      </c>
      <c r="R74" s="231"/>
      <c r="S74" s="229">
        <v>70.426000000000002</v>
      </c>
      <c r="T74" s="229">
        <v>67.873000000000005</v>
      </c>
      <c r="U74" s="229">
        <v>4.173</v>
      </c>
      <c r="V74" s="229">
        <v>0</v>
      </c>
      <c r="W74" s="229">
        <v>20.556999999999999</v>
      </c>
      <c r="X74" s="229">
        <v>25.818000000000001</v>
      </c>
      <c r="Y74" s="180"/>
    </row>
    <row r="75" spans="1:25" s="230" customFormat="1" ht="15.6" x14ac:dyDescent="0.3">
      <c r="A75" s="202">
        <v>111</v>
      </c>
      <c r="B75" s="204" t="s">
        <v>232</v>
      </c>
      <c r="C75" s="225"/>
      <c r="D75" s="207">
        <v>44.097999999999999</v>
      </c>
      <c r="E75" s="207">
        <v>55.800000000000004</v>
      </c>
      <c r="F75" s="229">
        <v>30.099999999999998</v>
      </c>
      <c r="G75" s="229">
        <v>12.115</v>
      </c>
      <c r="H75" s="229">
        <v>1.6080000000000001</v>
      </c>
      <c r="I75" s="229">
        <v>1.24</v>
      </c>
      <c r="J75" s="229">
        <v>0.222</v>
      </c>
      <c r="K75" s="235">
        <f t="shared" si="1"/>
        <v>0</v>
      </c>
      <c r="L75" s="229">
        <v>0.26800000000000002</v>
      </c>
      <c r="M75" s="229">
        <v>0.183</v>
      </c>
      <c r="N75" s="229">
        <v>0.53200000000000003</v>
      </c>
      <c r="O75" s="229">
        <v>10.56</v>
      </c>
      <c r="P75" s="229">
        <v>232.10300000000001</v>
      </c>
      <c r="Q75" s="229">
        <v>124.807</v>
      </c>
      <c r="R75" s="231"/>
      <c r="S75" s="229">
        <v>45.783999999999999</v>
      </c>
      <c r="T75" s="229">
        <v>59.2</v>
      </c>
      <c r="U75" s="229">
        <v>3.1480000000000001</v>
      </c>
      <c r="V75" s="229">
        <v>32.454000000000001</v>
      </c>
      <c r="W75" s="229">
        <v>36.015999999999998</v>
      </c>
      <c r="X75" s="229">
        <v>48.695</v>
      </c>
      <c r="Y75" s="180"/>
    </row>
    <row r="76" spans="1:25" s="230" customFormat="1" ht="15.6" x14ac:dyDescent="0.3">
      <c r="A76" s="202">
        <v>112</v>
      </c>
      <c r="B76" s="204"/>
      <c r="C76" s="225"/>
      <c r="D76" s="207"/>
      <c r="E76" s="207"/>
      <c r="F76" s="229"/>
      <c r="G76" s="229"/>
      <c r="H76" s="229"/>
      <c r="I76" s="229"/>
      <c r="J76" s="229"/>
      <c r="K76" s="235"/>
      <c r="L76" s="229"/>
      <c r="M76" s="229"/>
      <c r="N76" s="229"/>
      <c r="O76" s="229"/>
      <c r="P76" s="229"/>
      <c r="Q76" s="229"/>
      <c r="R76" s="231"/>
      <c r="S76" s="229"/>
      <c r="T76" s="229"/>
      <c r="U76" s="229"/>
      <c r="V76" s="229"/>
      <c r="W76" s="229"/>
      <c r="X76" s="229"/>
      <c r="Y76" s="180"/>
    </row>
    <row r="77" spans="1:25" s="230" customFormat="1" ht="15.6" x14ac:dyDescent="0.3">
      <c r="A77" s="202">
        <v>113</v>
      </c>
      <c r="B77" s="204" t="s">
        <v>233</v>
      </c>
      <c r="C77" s="225"/>
      <c r="D77" s="207">
        <v>37.015000000000001</v>
      </c>
      <c r="E77" s="207">
        <v>75.099999999999994</v>
      </c>
      <c r="F77" s="229">
        <v>47.5</v>
      </c>
      <c r="G77" s="229">
        <v>7.8280000000000003</v>
      </c>
      <c r="H77" s="229">
        <v>1.0780000000000001</v>
      </c>
      <c r="I77" s="229">
        <v>0.20699999999999999</v>
      </c>
      <c r="J77" s="229">
        <v>0.221</v>
      </c>
      <c r="K77" s="235">
        <f t="shared" si="1"/>
        <v>0</v>
      </c>
      <c r="L77" s="229">
        <v>0.156</v>
      </c>
      <c r="M77" s="229">
        <v>8.8999999999999996E-2</v>
      </c>
      <c r="N77" s="229">
        <v>0.80500000000000005</v>
      </c>
      <c r="O77" s="229">
        <v>5.7610000000000001</v>
      </c>
      <c r="P77" s="229">
        <v>133.09899999999999</v>
      </c>
      <c r="Q77" s="229">
        <v>27.579000000000001</v>
      </c>
      <c r="R77" s="231"/>
      <c r="S77" s="229">
        <v>23.265999999999998</v>
      </c>
      <c r="T77" s="229">
        <v>72.012</v>
      </c>
      <c r="U77" s="229">
        <v>2.8889999999999998</v>
      </c>
      <c r="V77" s="229">
        <v>21.001999999999999</v>
      </c>
      <c r="W77" s="229">
        <v>24.332000000000001</v>
      </c>
      <c r="X77" s="229">
        <v>42.463999999999999</v>
      </c>
      <c r="Y77" s="180"/>
    </row>
    <row r="78" spans="1:25" s="230" customFormat="1" ht="15.6" x14ac:dyDescent="0.3">
      <c r="A78" s="202">
        <v>114</v>
      </c>
      <c r="B78" s="204" t="s">
        <v>234</v>
      </c>
      <c r="C78" s="225"/>
      <c r="D78" s="207">
        <v>38.710999999999999</v>
      </c>
      <c r="E78" s="207">
        <v>43.2</v>
      </c>
      <c r="F78" s="229">
        <v>18.399999999999999</v>
      </c>
      <c r="G78" s="229">
        <v>6.9610000000000003</v>
      </c>
      <c r="H78" s="229">
        <v>1.95</v>
      </c>
      <c r="I78" s="229">
        <v>0.32900000000000001</v>
      </c>
      <c r="J78" s="229">
        <v>0.159</v>
      </c>
      <c r="K78" s="235">
        <f t="shared" si="1"/>
        <v>0</v>
      </c>
      <c r="L78" s="229">
        <v>0.216</v>
      </c>
      <c r="M78" s="229">
        <v>8.2000000000000003E-2</v>
      </c>
      <c r="N78" s="229">
        <v>7.992</v>
      </c>
      <c r="O78" s="229">
        <v>7.7080000000000002</v>
      </c>
      <c r="P78" s="229">
        <v>862.346</v>
      </c>
      <c r="Q78" s="229">
        <v>57.165999999999997</v>
      </c>
      <c r="R78" s="231"/>
      <c r="S78" s="229">
        <v>24.734000000000002</v>
      </c>
      <c r="T78" s="229">
        <v>52.942</v>
      </c>
      <c r="U78" s="229">
        <v>1.601</v>
      </c>
      <c r="V78" s="229">
        <v>29.800999999999998</v>
      </c>
      <c r="W78" s="229">
        <v>44.203000000000003</v>
      </c>
      <c r="X78" s="229">
        <v>66.992000000000004</v>
      </c>
      <c r="Y78" s="180"/>
    </row>
    <row r="79" spans="1:25" s="230" customFormat="1" ht="15.6" x14ac:dyDescent="0.3">
      <c r="A79" s="202">
        <v>115</v>
      </c>
      <c r="B79" s="204" t="s">
        <v>235</v>
      </c>
      <c r="C79" s="225"/>
      <c r="D79" s="207">
        <v>45.107999999999997</v>
      </c>
      <c r="E79" s="207">
        <v>56.000000000000007</v>
      </c>
      <c r="F79" s="229">
        <v>30.2</v>
      </c>
      <c r="G79" s="229">
        <v>15.342000000000001</v>
      </c>
      <c r="H79" s="229">
        <v>2.3340000000000001</v>
      </c>
      <c r="I79" s="229">
        <v>0.56200000000000006</v>
      </c>
      <c r="J79" s="229">
        <v>0.30499999999999999</v>
      </c>
      <c r="K79" s="235">
        <f t="shared" si="1"/>
        <v>0</v>
      </c>
      <c r="L79" s="229">
        <v>0.26200000000000001</v>
      </c>
      <c r="M79" s="229">
        <v>0.21</v>
      </c>
      <c r="N79" s="229">
        <v>1</v>
      </c>
      <c r="O79" s="229">
        <v>7.1639999999999997</v>
      </c>
      <c r="P79" s="229">
        <v>881.77200000000005</v>
      </c>
      <c r="Q79" s="229">
        <v>95.522999999999996</v>
      </c>
      <c r="R79" s="231"/>
      <c r="S79" s="229">
        <v>31.17</v>
      </c>
      <c r="T79" s="229">
        <v>60.36</v>
      </c>
      <c r="U79" s="229">
        <v>2.9489999999999998</v>
      </c>
      <c r="V79" s="229">
        <v>22.774999999999999</v>
      </c>
      <c r="W79" s="229">
        <v>36.097000000000001</v>
      </c>
      <c r="X79" s="229">
        <v>59.658999999999999</v>
      </c>
      <c r="Y79" s="180"/>
    </row>
    <row r="80" spans="1:25" s="230" customFormat="1" ht="15.6" x14ac:dyDescent="0.3">
      <c r="A80" s="202">
        <v>116</v>
      </c>
      <c r="B80" s="204" t="s">
        <v>236</v>
      </c>
      <c r="C80" s="225"/>
      <c r="D80" s="207">
        <v>60.627000000000002</v>
      </c>
      <c r="E80" s="207">
        <v>61.9</v>
      </c>
      <c r="F80" s="229">
        <v>35.6</v>
      </c>
      <c r="G80" s="229">
        <v>16.350999999999999</v>
      </c>
      <c r="H80" s="229">
        <v>1.736</v>
      </c>
      <c r="I80" s="229">
        <v>1.851</v>
      </c>
      <c r="J80" s="229">
        <v>0.21</v>
      </c>
      <c r="K80" s="235">
        <f t="shared" si="1"/>
        <v>0</v>
      </c>
      <c r="L80" s="229">
        <v>0.36499999999999999</v>
      </c>
      <c r="M80" s="229">
        <v>0.24099999999999999</v>
      </c>
      <c r="N80" s="229">
        <v>0.47699999999999998</v>
      </c>
      <c r="O80" s="229">
        <v>9.08</v>
      </c>
      <c r="P80" s="229">
        <v>281.79599999999999</v>
      </c>
      <c r="Q80" s="229">
        <v>81.183000000000007</v>
      </c>
      <c r="R80" s="231"/>
      <c r="S80" s="229">
        <v>35.709000000000003</v>
      </c>
      <c r="T80" s="229">
        <v>62.610999999999997</v>
      </c>
      <c r="U80" s="229">
        <v>4.1059999999999999</v>
      </c>
      <c r="V80" s="229">
        <v>18.478999999999999</v>
      </c>
      <c r="W80" s="229">
        <v>27.591999999999999</v>
      </c>
      <c r="X80" s="229">
        <v>40.590000000000003</v>
      </c>
      <c r="Y80" s="180"/>
    </row>
    <row r="81" spans="1:25" s="230" customFormat="1" ht="15.6" x14ac:dyDescent="0.3">
      <c r="A81" s="202">
        <v>117</v>
      </c>
      <c r="B81" s="204" t="s">
        <v>237</v>
      </c>
      <c r="C81" s="225"/>
      <c r="D81" s="207">
        <v>70.915999999999997</v>
      </c>
      <c r="E81" s="207">
        <v>59.199999999999996</v>
      </c>
      <c r="F81" s="229">
        <v>33.200000000000003</v>
      </c>
      <c r="G81" s="229">
        <v>22.419</v>
      </c>
      <c r="H81" s="229">
        <v>2.649</v>
      </c>
      <c r="I81" s="229">
        <v>1.417</v>
      </c>
      <c r="J81" s="229">
        <v>0.316</v>
      </c>
      <c r="K81" s="235">
        <f t="shared" si="1"/>
        <v>0</v>
      </c>
      <c r="L81" s="229">
        <v>0.30499999999999999</v>
      </c>
      <c r="M81" s="229">
        <v>0.26300000000000001</v>
      </c>
      <c r="N81" s="229">
        <v>1.544</v>
      </c>
      <c r="O81" s="229">
        <v>10.039</v>
      </c>
      <c r="P81" s="229">
        <v>412.887</v>
      </c>
      <c r="Q81" s="229">
        <v>40.954000000000001</v>
      </c>
      <c r="R81" s="231"/>
      <c r="S81" s="229">
        <v>24.696000000000002</v>
      </c>
      <c r="T81" s="229">
        <v>60.881</v>
      </c>
      <c r="U81" s="229">
        <v>2.9710000000000001</v>
      </c>
      <c r="V81" s="229">
        <v>24.47</v>
      </c>
      <c r="W81" s="229">
        <v>31.283999999999999</v>
      </c>
      <c r="X81" s="229">
        <v>40.357999999999997</v>
      </c>
      <c r="Y81" s="180"/>
    </row>
    <row r="82" spans="1:25" s="230" customFormat="1" ht="15.6" x14ac:dyDescent="0.3">
      <c r="A82" s="202">
        <v>118</v>
      </c>
      <c r="B82" s="204" t="s">
        <v>238</v>
      </c>
      <c r="C82" s="225"/>
      <c r="D82" s="207">
        <v>37.801000000000002</v>
      </c>
      <c r="E82" s="207">
        <v>54.800000000000004</v>
      </c>
      <c r="F82" s="229">
        <v>29.099999999999998</v>
      </c>
      <c r="G82" s="229">
        <v>16.292000000000002</v>
      </c>
      <c r="H82" s="229">
        <v>3.0169999999999999</v>
      </c>
      <c r="I82" s="229">
        <v>0.47199999999999998</v>
      </c>
      <c r="J82" s="229">
        <v>0.33</v>
      </c>
      <c r="K82" s="235">
        <f t="shared" si="1"/>
        <v>0</v>
      </c>
      <c r="L82" s="229">
        <v>0.34300000000000003</v>
      </c>
      <c r="M82" s="229">
        <v>0.217</v>
      </c>
      <c r="N82" s="229">
        <v>0</v>
      </c>
      <c r="O82" s="229">
        <v>15.28</v>
      </c>
      <c r="P82" s="229">
        <v>314.95999999999998</v>
      </c>
      <c r="Q82" s="229">
        <v>110.057</v>
      </c>
      <c r="R82" s="231"/>
      <c r="S82" s="229">
        <v>41.356999999999999</v>
      </c>
      <c r="T82" s="229">
        <v>59.774000000000001</v>
      </c>
      <c r="U82" s="229">
        <v>2.4620000000000002</v>
      </c>
      <c r="V82" s="229">
        <v>0</v>
      </c>
      <c r="W82" s="229">
        <v>36.148000000000003</v>
      </c>
      <c r="X82" s="229">
        <v>60.396999999999998</v>
      </c>
      <c r="Y82" s="180"/>
    </row>
    <row r="83" spans="1:25" s="230" customFormat="1" ht="15.6" x14ac:dyDescent="0.3">
      <c r="A83" s="202">
        <v>119</v>
      </c>
      <c r="B83" s="204"/>
      <c r="C83" s="225"/>
      <c r="D83" s="207"/>
      <c r="E83" s="207"/>
      <c r="F83" s="229"/>
      <c r="G83" s="229"/>
      <c r="H83" s="229"/>
      <c r="I83" s="229"/>
      <c r="J83" s="229"/>
      <c r="K83" s="235"/>
      <c r="L83" s="229"/>
      <c r="M83" s="229"/>
      <c r="N83" s="229"/>
      <c r="O83" s="229"/>
      <c r="P83" s="229"/>
      <c r="Q83" s="229"/>
      <c r="R83" s="231"/>
      <c r="S83" s="229"/>
      <c r="T83" s="229"/>
      <c r="U83" s="229"/>
      <c r="V83" s="229"/>
      <c r="W83" s="229"/>
      <c r="X83" s="229"/>
      <c r="Y83" s="180"/>
    </row>
    <row r="84" spans="1:25" s="230" customFormat="1" ht="15.6" x14ac:dyDescent="0.3">
      <c r="A84" s="202">
        <v>120</v>
      </c>
      <c r="B84" s="204"/>
      <c r="C84" s="225"/>
      <c r="D84" s="207"/>
      <c r="E84" s="207"/>
      <c r="F84" s="229"/>
      <c r="G84" s="229"/>
      <c r="H84" s="229"/>
      <c r="I84" s="229"/>
      <c r="J84" s="229"/>
      <c r="K84" s="235"/>
      <c r="L84" s="229"/>
      <c r="M84" s="229"/>
      <c r="N84" s="229"/>
      <c r="O84" s="229"/>
      <c r="P84" s="229"/>
      <c r="Q84" s="229"/>
      <c r="R84" s="231"/>
      <c r="S84" s="229"/>
      <c r="T84" s="229"/>
      <c r="U84" s="229"/>
      <c r="V84" s="229"/>
      <c r="W84" s="229"/>
      <c r="X84" s="229"/>
      <c r="Y84" s="180"/>
    </row>
    <row r="85" spans="1:25" s="230" customFormat="1" ht="15.6" x14ac:dyDescent="0.3">
      <c r="A85" s="202">
        <v>121</v>
      </c>
      <c r="B85" s="204" t="s">
        <v>239</v>
      </c>
      <c r="C85" s="225"/>
      <c r="D85" s="207">
        <v>47.18</v>
      </c>
      <c r="E85" s="207">
        <v>60.3</v>
      </c>
      <c r="F85" s="229">
        <v>34.1</v>
      </c>
      <c r="G85" s="229">
        <v>17.68</v>
      </c>
      <c r="H85" s="229">
        <v>2.5680000000000001</v>
      </c>
      <c r="I85" s="229">
        <v>0.77500000000000002</v>
      </c>
      <c r="J85" s="229">
        <v>0.33100000000000002</v>
      </c>
      <c r="K85" s="235">
        <f t="shared" si="1"/>
        <v>0</v>
      </c>
      <c r="L85" s="229">
        <v>0.252</v>
      </c>
      <c r="M85" s="229">
        <v>0.23100000000000001</v>
      </c>
      <c r="N85" s="229">
        <v>1.1619999999999999</v>
      </c>
      <c r="O85" s="229">
        <v>9.4789999999999992</v>
      </c>
      <c r="P85" s="229">
        <v>293.19</v>
      </c>
      <c r="Q85" s="229">
        <v>66.653999999999996</v>
      </c>
      <c r="R85" s="231"/>
      <c r="S85" s="229">
        <v>28.405000000000001</v>
      </c>
      <c r="T85" s="229">
        <v>62.468000000000004</v>
      </c>
      <c r="U85" s="229">
        <v>3.5169999999999999</v>
      </c>
      <c r="V85" s="229">
        <v>25.312999999999999</v>
      </c>
      <c r="W85" s="229">
        <v>33.762999999999998</v>
      </c>
      <c r="X85" s="229">
        <v>54.350999999999999</v>
      </c>
      <c r="Y85" s="180"/>
    </row>
    <row r="86" spans="1:25" s="230" customFormat="1" ht="15.6" x14ac:dyDescent="0.3">
      <c r="A86" s="202">
        <v>122</v>
      </c>
      <c r="B86" s="204" t="s">
        <v>240</v>
      </c>
      <c r="C86" s="225"/>
      <c r="D86" s="207">
        <v>41.082999999999998</v>
      </c>
      <c r="E86" s="207">
        <v>59.3</v>
      </c>
      <c r="F86" s="229">
        <v>33.300000000000004</v>
      </c>
      <c r="G86" s="229">
        <v>20.440999999999999</v>
      </c>
      <c r="H86" s="229">
        <v>2.56</v>
      </c>
      <c r="I86" s="229">
        <v>1.266</v>
      </c>
      <c r="J86" s="229">
        <v>0.32500000000000001</v>
      </c>
      <c r="K86" s="235">
        <f t="shared" si="1"/>
        <v>0</v>
      </c>
      <c r="L86" s="229">
        <v>0.26900000000000002</v>
      </c>
      <c r="M86" s="229">
        <v>0.23400000000000001</v>
      </c>
      <c r="N86" s="229">
        <v>0</v>
      </c>
      <c r="O86" s="229">
        <v>9.0109999999999992</v>
      </c>
      <c r="P86" s="229">
        <v>262.83199999999999</v>
      </c>
      <c r="Q86" s="229">
        <v>34.537999999999997</v>
      </c>
      <c r="R86" s="231"/>
      <c r="S86" s="229">
        <v>25.491</v>
      </c>
      <c r="T86" s="229">
        <v>61.316000000000003</v>
      </c>
      <c r="U86" s="229">
        <v>3.1480000000000001</v>
      </c>
      <c r="V86" s="229">
        <v>20.402999999999999</v>
      </c>
      <c r="W86" s="229">
        <v>33.058</v>
      </c>
      <c r="X86" s="229">
        <v>46.116999999999997</v>
      </c>
      <c r="Y86" s="180"/>
    </row>
    <row r="87" spans="1:25" s="230" customFormat="1" ht="15.6" x14ac:dyDescent="0.3">
      <c r="A87" s="202">
        <v>123</v>
      </c>
      <c r="B87" s="204" t="s">
        <v>241</v>
      </c>
      <c r="C87" s="225"/>
      <c r="D87" s="207">
        <v>38.517000000000003</v>
      </c>
      <c r="E87" s="207">
        <v>62</v>
      </c>
      <c r="F87" s="229">
        <v>35.699999999999996</v>
      </c>
      <c r="G87" s="229">
        <v>17.061</v>
      </c>
      <c r="H87" s="229">
        <v>2.86</v>
      </c>
      <c r="I87" s="229">
        <v>0.48199999999999998</v>
      </c>
      <c r="J87" s="229">
        <v>0.34599999999999997</v>
      </c>
      <c r="K87" s="235">
        <f t="shared" si="1"/>
        <v>0</v>
      </c>
      <c r="L87" s="229">
        <v>0.20799999999999999</v>
      </c>
      <c r="M87" s="229">
        <v>0.215</v>
      </c>
      <c r="N87" s="229">
        <v>0.217</v>
      </c>
      <c r="O87" s="229">
        <v>8.33</v>
      </c>
      <c r="P87" s="229">
        <v>404.12900000000002</v>
      </c>
      <c r="Q87" s="229">
        <v>69.539000000000001</v>
      </c>
      <c r="R87" s="231"/>
      <c r="S87" s="229">
        <v>29.478999999999999</v>
      </c>
      <c r="T87" s="229">
        <v>63.423999999999999</v>
      </c>
      <c r="U87" s="229">
        <v>3.8439999999999999</v>
      </c>
      <c r="V87" s="229">
        <v>34.622999999999998</v>
      </c>
      <c r="W87" s="229">
        <v>32.968000000000004</v>
      </c>
      <c r="X87" s="229">
        <v>52.149000000000001</v>
      </c>
      <c r="Y87" s="180"/>
    </row>
    <row r="88" spans="1:25" s="230" customFormat="1" ht="15.6" x14ac:dyDescent="0.3">
      <c r="A88" s="202">
        <v>124</v>
      </c>
      <c r="B88" s="204" t="s">
        <v>242</v>
      </c>
      <c r="C88" s="225"/>
      <c r="D88" s="207">
        <v>25.718</v>
      </c>
      <c r="E88" s="207">
        <v>59.8</v>
      </c>
      <c r="F88" s="229">
        <v>33.700000000000003</v>
      </c>
      <c r="G88" s="229">
        <v>19.873000000000001</v>
      </c>
      <c r="H88" s="229">
        <v>1.458</v>
      </c>
      <c r="I88" s="229">
        <v>1.45</v>
      </c>
      <c r="J88" s="229">
        <v>0.30199999999999999</v>
      </c>
      <c r="K88" s="235">
        <f t="shared" si="1"/>
        <v>0</v>
      </c>
      <c r="L88" s="229">
        <v>0.44900000000000001</v>
      </c>
      <c r="M88" s="229">
        <v>0.23100000000000001</v>
      </c>
      <c r="N88" s="229">
        <v>1.6739999999999999</v>
      </c>
      <c r="O88" s="229">
        <v>7.6630000000000003</v>
      </c>
      <c r="P88" s="229">
        <v>132.57599999999999</v>
      </c>
      <c r="Q88" s="229">
        <v>150.32400000000001</v>
      </c>
      <c r="R88" s="231"/>
      <c r="S88" s="229">
        <v>35.552</v>
      </c>
      <c r="T88" s="229">
        <v>60.656999999999996</v>
      </c>
      <c r="U88" s="229">
        <v>0</v>
      </c>
      <c r="V88" s="229">
        <v>0</v>
      </c>
      <c r="W88" s="229">
        <v>36.22</v>
      </c>
      <c r="X88" s="229">
        <v>49.877000000000002</v>
      </c>
      <c r="Y88" s="180"/>
    </row>
    <row r="89" spans="1:25" s="230" customFormat="1" ht="15.6" x14ac:dyDescent="0.3">
      <c r="A89" s="202">
        <v>125</v>
      </c>
      <c r="B89" s="204" t="s">
        <v>243</v>
      </c>
      <c r="C89" s="225"/>
      <c r="D89" s="207">
        <v>35.183</v>
      </c>
      <c r="E89" s="207">
        <v>74</v>
      </c>
      <c r="F89" s="229">
        <v>46.5</v>
      </c>
      <c r="G89" s="229">
        <v>7.9379999999999997</v>
      </c>
      <c r="H89" s="229">
        <v>1.018</v>
      </c>
      <c r="I89" s="229">
        <v>0.223</v>
      </c>
      <c r="J89" s="229">
        <v>0.22700000000000001</v>
      </c>
      <c r="K89" s="235">
        <f t="shared" si="1"/>
        <v>0</v>
      </c>
      <c r="L89" s="229">
        <v>0.17</v>
      </c>
      <c r="M89" s="229">
        <v>9.1999999999999998E-2</v>
      </c>
      <c r="N89" s="229">
        <v>0</v>
      </c>
      <c r="O89" s="229">
        <v>10.282</v>
      </c>
      <c r="P89" s="229">
        <v>206.23699999999999</v>
      </c>
      <c r="Q89" s="229">
        <v>23.623000000000001</v>
      </c>
      <c r="R89" s="231"/>
      <c r="S89" s="229">
        <v>29.954999999999998</v>
      </c>
      <c r="T89" s="229">
        <v>71.272000000000006</v>
      </c>
      <c r="U89" s="229">
        <v>2.9649999999999999</v>
      </c>
      <c r="V89" s="229">
        <v>0</v>
      </c>
      <c r="W89" s="229">
        <v>24.7</v>
      </c>
      <c r="X89" s="229">
        <v>43.786000000000001</v>
      </c>
      <c r="Y89" s="180"/>
    </row>
    <row r="90" spans="1:25" s="230" customFormat="1" ht="15.6" x14ac:dyDescent="0.3">
      <c r="A90" s="202">
        <v>126</v>
      </c>
      <c r="B90" s="204" t="s">
        <v>244</v>
      </c>
      <c r="C90" s="225"/>
      <c r="D90" s="207">
        <v>41.377000000000002</v>
      </c>
      <c r="E90" s="207">
        <v>66.8</v>
      </c>
      <c r="F90" s="229">
        <v>40</v>
      </c>
      <c r="G90" s="229">
        <v>20.141999999999999</v>
      </c>
      <c r="H90" s="229">
        <v>3.097</v>
      </c>
      <c r="I90" s="229">
        <v>0.56000000000000005</v>
      </c>
      <c r="J90" s="229">
        <v>0.39700000000000002</v>
      </c>
      <c r="K90" s="235">
        <f t="shared" si="1"/>
        <v>0</v>
      </c>
      <c r="L90" s="229">
        <v>0.23200000000000001</v>
      </c>
      <c r="M90" s="229">
        <v>0.25700000000000001</v>
      </c>
      <c r="N90" s="229">
        <v>0.55200000000000005</v>
      </c>
      <c r="O90" s="229">
        <v>9.84</v>
      </c>
      <c r="P90" s="229">
        <v>358.673</v>
      </c>
      <c r="Q90" s="229">
        <v>67.471000000000004</v>
      </c>
      <c r="R90" s="231"/>
      <c r="S90" s="229">
        <v>43.668999999999997</v>
      </c>
      <c r="T90" s="229">
        <v>66.176000000000002</v>
      </c>
      <c r="U90" s="229">
        <v>4.2050000000000001</v>
      </c>
      <c r="V90" s="229">
        <v>31.885999999999999</v>
      </c>
      <c r="W90" s="229">
        <v>29.806999999999999</v>
      </c>
      <c r="X90" s="229">
        <v>50.16</v>
      </c>
      <c r="Y90" s="180"/>
    </row>
    <row r="91" spans="1:25" s="230" customFormat="1" ht="15.6" x14ac:dyDescent="0.3">
      <c r="A91" s="202">
        <v>127</v>
      </c>
      <c r="B91" s="204" t="s">
        <v>245</v>
      </c>
      <c r="C91" s="225"/>
      <c r="D91" s="207">
        <v>43.853999999999999</v>
      </c>
      <c r="E91" s="207">
        <v>57.999999999999993</v>
      </c>
      <c r="F91" s="229">
        <v>32</v>
      </c>
      <c r="G91" s="229">
        <v>9.1440000000000001</v>
      </c>
      <c r="H91" s="229">
        <v>1.68</v>
      </c>
      <c r="I91" s="229">
        <v>0.34599999999999997</v>
      </c>
      <c r="J91" s="229">
        <v>0.218</v>
      </c>
      <c r="K91" s="235">
        <f t="shared" si="1"/>
        <v>0</v>
      </c>
      <c r="L91" s="229">
        <v>0.246</v>
      </c>
      <c r="M91" s="229">
        <v>0.13400000000000001</v>
      </c>
      <c r="N91" s="229">
        <v>0.42899999999999999</v>
      </c>
      <c r="O91" s="229">
        <v>7.8650000000000002</v>
      </c>
      <c r="P91" s="229">
        <v>187.92</v>
      </c>
      <c r="Q91" s="229">
        <v>42.012999999999998</v>
      </c>
      <c r="R91" s="231"/>
      <c r="S91" s="229">
        <v>29.25</v>
      </c>
      <c r="T91" s="229">
        <v>61.731000000000002</v>
      </c>
      <c r="U91" s="229">
        <v>2.2280000000000002</v>
      </c>
      <c r="V91" s="229">
        <v>28.788</v>
      </c>
      <c r="W91" s="229">
        <v>34.463999999999999</v>
      </c>
      <c r="X91" s="229">
        <v>55.747999999999998</v>
      </c>
      <c r="Y91" s="180"/>
    </row>
    <row r="92" spans="1:25" s="230" customFormat="1" ht="15.6" x14ac:dyDescent="0.3">
      <c r="A92" s="202">
        <v>128</v>
      </c>
      <c r="B92" s="204" t="s">
        <v>246</v>
      </c>
      <c r="C92" s="225"/>
      <c r="D92" s="207">
        <v>74.186999999999998</v>
      </c>
      <c r="E92" s="207">
        <v>60.099999999999994</v>
      </c>
      <c r="F92" s="229">
        <v>33.900000000000006</v>
      </c>
      <c r="G92" s="229">
        <v>19.195</v>
      </c>
      <c r="H92" s="229">
        <v>2.0960000000000001</v>
      </c>
      <c r="I92" s="229">
        <v>1.4259999999999999</v>
      </c>
      <c r="J92" s="229">
        <v>0.307</v>
      </c>
      <c r="K92" s="235">
        <f t="shared" si="1"/>
        <v>0</v>
      </c>
      <c r="L92" s="229">
        <v>0.33100000000000002</v>
      </c>
      <c r="M92" s="229">
        <v>0.26</v>
      </c>
      <c r="N92" s="229">
        <v>0</v>
      </c>
      <c r="O92" s="229">
        <v>9.8989999999999991</v>
      </c>
      <c r="P92" s="229">
        <v>183.88900000000001</v>
      </c>
      <c r="Q92" s="229">
        <v>77.995999999999995</v>
      </c>
      <c r="R92" s="231"/>
      <c r="S92" s="229">
        <v>28.268999999999998</v>
      </c>
      <c r="T92" s="229">
        <v>61.671999999999997</v>
      </c>
      <c r="U92" s="229">
        <v>3.76</v>
      </c>
      <c r="V92" s="229">
        <v>0</v>
      </c>
      <c r="W92" s="229">
        <v>32.101999999999997</v>
      </c>
      <c r="X92" s="229">
        <v>44.137999999999998</v>
      </c>
      <c r="Y92" s="180"/>
    </row>
    <row r="93" spans="1:25" s="230" customFormat="1" ht="15.6" x14ac:dyDescent="0.3">
      <c r="A93" s="202">
        <v>129</v>
      </c>
      <c r="B93" s="204" t="s">
        <v>247</v>
      </c>
      <c r="C93" s="225"/>
      <c r="D93" s="207">
        <v>56.735999999999997</v>
      </c>
      <c r="E93" s="207">
        <v>34.799999999999997</v>
      </c>
      <c r="F93" s="229">
        <v>11.5</v>
      </c>
      <c r="G93" s="229">
        <v>7.4749999999999996</v>
      </c>
      <c r="H93" s="229">
        <v>1.369</v>
      </c>
      <c r="I93" s="229">
        <v>0.22600000000000001</v>
      </c>
      <c r="J93" s="229">
        <v>0.14699999999999999</v>
      </c>
      <c r="K93" s="235">
        <f t="shared" si="1"/>
        <v>0</v>
      </c>
      <c r="L93" s="229">
        <v>0.105</v>
      </c>
      <c r="M93" s="229">
        <v>0.16300000000000001</v>
      </c>
      <c r="N93" s="229">
        <v>0</v>
      </c>
      <c r="O93" s="229">
        <v>8.6649999999999991</v>
      </c>
      <c r="P93" s="229">
        <v>505.63</v>
      </c>
      <c r="Q93" s="229">
        <v>71.825000000000003</v>
      </c>
      <c r="R93" s="231"/>
      <c r="S93" s="229">
        <v>24.01</v>
      </c>
      <c r="T93" s="229">
        <v>48.103999999999999</v>
      </c>
      <c r="U93" s="229">
        <v>0.499</v>
      </c>
      <c r="V93" s="229">
        <v>0</v>
      </c>
      <c r="W93" s="229">
        <v>51.75</v>
      </c>
      <c r="X93" s="229">
        <v>74.468000000000004</v>
      </c>
      <c r="Y93" s="180"/>
    </row>
    <row r="94" spans="1:25" s="230" customFormat="1" ht="15.6" x14ac:dyDescent="0.3">
      <c r="A94" s="202">
        <v>130</v>
      </c>
      <c r="B94" s="204" t="s">
        <v>248</v>
      </c>
      <c r="C94" s="225"/>
      <c r="D94" s="207">
        <v>35.863</v>
      </c>
      <c r="E94" s="207">
        <v>52</v>
      </c>
      <c r="F94" s="229">
        <v>26.5</v>
      </c>
      <c r="G94" s="229">
        <v>12.305999999999999</v>
      </c>
      <c r="H94" s="229">
        <v>2.7970000000000002</v>
      </c>
      <c r="I94" s="229">
        <v>0.47899999999999998</v>
      </c>
      <c r="J94" s="229">
        <v>0.30099999999999999</v>
      </c>
      <c r="K94" s="235">
        <f t="shared" si="1"/>
        <v>0</v>
      </c>
      <c r="L94" s="229">
        <v>0.29499999999999998</v>
      </c>
      <c r="M94" s="229">
        <v>0.18</v>
      </c>
      <c r="N94" s="229">
        <v>0</v>
      </c>
      <c r="O94" s="229">
        <v>11.095000000000001</v>
      </c>
      <c r="P94" s="229">
        <v>504.58800000000002</v>
      </c>
      <c r="Q94" s="229">
        <v>44.427</v>
      </c>
      <c r="R94" s="231"/>
      <c r="S94" s="229">
        <v>35.725000000000001</v>
      </c>
      <c r="T94" s="229">
        <v>57.908000000000001</v>
      </c>
      <c r="U94" s="229">
        <v>2.6949999999999998</v>
      </c>
      <c r="V94" s="229">
        <v>0</v>
      </c>
      <c r="W94" s="229">
        <v>37.92</v>
      </c>
      <c r="X94" s="229">
        <v>62.215000000000003</v>
      </c>
      <c r="Y94" s="180"/>
    </row>
    <row r="95" spans="1:25" s="230" customFormat="1" ht="15.6" x14ac:dyDescent="0.3">
      <c r="A95" s="202">
        <v>131</v>
      </c>
      <c r="B95" s="204" t="s">
        <v>249</v>
      </c>
      <c r="C95" s="225"/>
      <c r="D95" s="207">
        <v>38.765999999999998</v>
      </c>
      <c r="E95" s="207">
        <v>25</v>
      </c>
      <c r="F95" s="229">
        <v>11.1</v>
      </c>
      <c r="G95" s="229">
        <v>3.5649999999999999</v>
      </c>
      <c r="H95" s="229">
        <v>0.156</v>
      </c>
      <c r="I95" s="229">
        <v>8.8999999999999996E-2</v>
      </c>
      <c r="J95" s="229">
        <v>2.4E-2</v>
      </c>
      <c r="K95" s="235">
        <f t="shared" si="1"/>
        <v>0</v>
      </c>
      <c r="L95" s="229">
        <v>3.2000000000000001E-2</v>
      </c>
      <c r="M95" s="229">
        <v>3.6999999999999998E-2</v>
      </c>
      <c r="N95" s="229">
        <v>0</v>
      </c>
      <c r="O95" s="229">
        <v>7.4219999999999997</v>
      </c>
      <c r="P95" s="229">
        <v>350.78300000000002</v>
      </c>
      <c r="Q95" s="229">
        <v>56.421999999999997</v>
      </c>
      <c r="R95" s="231"/>
      <c r="S95" s="229">
        <v>8.7799999999999994</v>
      </c>
      <c r="T95" s="229">
        <v>42.537999999999997</v>
      </c>
      <c r="U95" s="229">
        <v>0.94099999999999995</v>
      </c>
      <c r="V95" s="229">
        <v>38.575000000000003</v>
      </c>
      <c r="W95" s="229">
        <v>60.781999999999996</v>
      </c>
      <c r="X95" s="229">
        <v>74.647999999999996</v>
      </c>
      <c r="Y95" s="180"/>
    </row>
    <row r="96" spans="1:25" s="230" customFormat="1" ht="15.6" x14ac:dyDescent="0.3">
      <c r="A96" s="202">
        <v>132</v>
      </c>
      <c r="B96" s="204" t="s">
        <v>250</v>
      </c>
      <c r="C96" s="225"/>
      <c r="D96" s="207">
        <v>17.54</v>
      </c>
      <c r="E96" s="207">
        <v>70.099999999999994</v>
      </c>
      <c r="F96" s="229">
        <v>43</v>
      </c>
      <c r="G96" s="229">
        <v>13.14</v>
      </c>
      <c r="H96" s="229">
        <v>3.5470000000000002</v>
      </c>
      <c r="I96" s="229">
        <v>1.327</v>
      </c>
      <c r="J96" s="229">
        <v>0.28299999999999997</v>
      </c>
      <c r="K96" s="235">
        <f t="shared" si="1"/>
        <v>0</v>
      </c>
      <c r="L96" s="229">
        <v>0.36499999999999999</v>
      </c>
      <c r="M96" s="229">
        <v>0.23799999999999999</v>
      </c>
      <c r="N96" s="229">
        <v>0</v>
      </c>
      <c r="O96" s="229">
        <v>13.773999999999999</v>
      </c>
      <c r="P96" s="229">
        <v>566.77200000000005</v>
      </c>
      <c r="Q96" s="229">
        <v>147.584</v>
      </c>
      <c r="R96" s="231"/>
      <c r="S96" s="229">
        <v>36.798000000000002</v>
      </c>
      <c r="T96" s="229">
        <v>66.037000000000006</v>
      </c>
      <c r="U96" s="229">
        <v>6.3129999999999997</v>
      </c>
      <c r="V96" s="229">
        <v>0</v>
      </c>
      <c r="W96" s="229">
        <v>29.446000000000002</v>
      </c>
      <c r="X96" s="229">
        <v>39.594000000000001</v>
      </c>
      <c r="Y96" s="180"/>
    </row>
    <row r="97" spans="1:25" s="230" customFormat="1" ht="15.6" x14ac:dyDescent="0.3">
      <c r="A97" s="202">
        <v>133</v>
      </c>
      <c r="B97" s="204" t="s">
        <v>251</v>
      </c>
      <c r="C97" s="225"/>
      <c r="D97" s="207">
        <v>22.629000000000001</v>
      </c>
      <c r="E97" s="207">
        <v>69.199999999999989</v>
      </c>
      <c r="F97" s="229">
        <v>42.199999999999996</v>
      </c>
      <c r="G97" s="229">
        <v>10.208</v>
      </c>
      <c r="H97" s="229">
        <v>1.266</v>
      </c>
      <c r="I97" s="229">
        <v>0.23</v>
      </c>
      <c r="J97" s="229">
        <v>0.29799999999999999</v>
      </c>
      <c r="K97" s="235">
        <f t="shared" si="1"/>
        <v>0</v>
      </c>
      <c r="L97" s="229">
        <v>0.19900000000000001</v>
      </c>
      <c r="M97" s="229">
        <v>0.13100000000000001</v>
      </c>
      <c r="N97" s="229">
        <v>8.5000000000000006E-2</v>
      </c>
      <c r="O97" s="229">
        <v>8.5129999999999999</v>
      </c>
      <c r="P97" s="229">
        <v>182.422</v>
      </c>
      <c r="Q97" s="229">
        <v>30.268000000000001</v>
      </c>
      <c r="R97" s="231"/>
      <c r="S97" s="229">
        <v>40.6</v>
      </c>
      <c r="T97" s="229">
        <v>68.581999999999994</v>
      </c>
      <c r="U97" s="229">
        <v>4.2949999999999999</v>
      </c>
      <c r="V97" s="229">
        <v>0</v>
      </c>
      <c r="W97" s="229">
        <v>30.716999999999999</v>
      </c>
      <c r="X97" s="229">
        <v>55.436999999999998</v>
      </c>
      <c r="Y97" s="180"/>
    </row>
    <row r="98" spans="1:25" s="230" customFormat="1" ht="15.6" x14ac:dyDescent="0.3">
      <c r="A98" s="202">
        <v>134</v>
      </c>
      <c r="B98" s="204" t="s">
        <v>252</v>
      </c>
      <c r="C98" s="225"/>
      <c r="D98" s="207">
        <v>33.904000000000003</v>
      </c>
      <c r="E98" s="207">
        <v>60.8</v>
      </c>
      <c r="F98" s="229">
        <v>34.599999999999994</v>
      </c>
      <c r="G98" s="229">
        <v>15.106999999999999</v>
      </c>
      <c r="H98" s="229">
        <v>2.62</v>
      </c>
      <c r="I98" s="229">
        <v>0.38300000000000001</v>
      </c>
      <c r="J98" s="229">
        <v>0.315</v>
      </c>
      <c r="K98" s="235">
        <f t="shared" si="1"/>
        <v>0</v>
      </c>
      <c r="L98" s="229">
        <v>0.17100000000000001</v>
      </c>
      <c r="M98" s="229">
        <v>0.184</v>
      </c>
      <c r="N98" s="229">
        <v>0.49399999999999999</v>
      </c>
      <c r="O98" s="229">
        <v>7.8579999999999997</v>
      </c>
      <c r="P98" s="229">
        <v>330.78199999999998</v>
      </c>
      <c r="Q98" s="229">
        <v>47.616999999999997</v>
      </c>
      <c r="R98" s="231"/>
      <c r="S98" s="229">
        <v>30.378</v>
      </c>
      <c r="T98" s="229">
        <v>63.442999999999998</v>
      </c>
      <c r="U98" s="229">
        <v>2.883</v>
      </c>
      <c r="V98" s="229">
        <v>0</v>
      </c>
      <c r="W98" s="229">
        <v>33.173000000000002</v>
      </c>
      <c r="X98" s="229">
        <v>55.063000000000002</v>
      </c>
      <c r="Y98" s="180"/>
    </row>
    <row r="99" spans="1:25" s="230" customFormat="1" ht="15.6" x14ac:dyDescent="0.3">
      <c r="A99" s="202">
        <v>135</v>
      </c>
      <c r="B99" s="204" t="s">
        <v>253</v>
      </c>
      <c r="C99" s="225"/>
      <c r="D99" s="207">
        <v>41.320999999999998</v>
      </c>
      <c r="E99" s="207">
        <v>60</v>
      </c>
      <c r="F99" s="229">
        <v>33.900000000000006</v>
      </c>
      <c r="G99" s="229">
        <v>14.808999999999999</v>
      </c>
      <c r="H99" s="229">
        <v>2.4529999999999998</v>
      </c>
      <c r="I99" s="229">
        <v>0.40799999999999997</v>
      </c>
      <c r="J99" s="229">
        <v>0.31</v>
      </c>
      <c r="K99" s="235">
        <f t="shared" si="1"/>
        <v>0</v>
      </c>
      <c r="L99" s="229">
        <v>0.17100000000000001</v>
      </c>
      <c r="M99" s="229">
        <v>0.186</v>
      </c>
      <c r="N99" s="229">
        <v>0.245</v>
      </c>
      <c r="O99" s="229">
        <v>9.49</v>
      </c>
      <c r="P99" s="229">
        <v>503.85599999999999</v>
      </c>
      <c r="Q99" s="229">
        <v>61.198</v>
      </c>
      <c r="R99" s="231"/>
      <c r="S99" s="229">
        <v>29.483000000000001</v>
      </c>
      <c r="T99" s="229">
        <v>62.593000000000004</v>
      </c>
      <c r="U99" s="229">
        <v>2.976</v>
      </c>
      <c r="V99" s="229">
        <v>23.213000000000001</v>
      </c>
      <c r="W99" s="229">
        <v>33.598999999999997</v>
      </c>
      <c r="X99" s="229">
        <v>54.506999999999998</v>
      </c>
      <c r="Y99" s="180"/>
    </row>
    <row r="100" spans="1:25" s="230" customFormat="1" ht="15.6" x14ac:dyDescent="0.3">
      <c r="A100" s="202">
        <v>136</v>
      </c>
      <c r="B100" s="204" t="s">
        <v>254</v>
      </c>
      <c r="C100" s="225"/>
      <c r="D100" s="207">
        <v>50.091000000000001</v>
      </c>
      <c r="E100" s="207">
        <v>0</v>
      </c>
      <c r="F100" s="229">
        <v>0</v>
      </c>
      <c r="G100" s="229">
        <v>8.9429999999999996</v>
      </c>
      <c r="H100" s="229">
        <v>0.91700000000000004</v>
      </c>
      <c r="I100" s="229">
        <v>0.78500000000000003</v>
      </c>
      <c r="J100" s="229">
        <v>0.156</v>
      </c>
      <c r="K100" s="235">
        <f t="shared" si="1"/>
        <v>0</v>
      </c>
      <c r="L100" s="229">
        <v>0.13200000000000001</v>
      </c>
      <c r="M100" s="229">
        <v>0.13800000000000001</v>
      </c>
      <c r="N100" s="229">
        <v>0.63600000000000001</v>
      </c>
      <c r="O100" s="229">
        <v>8.657</v>
      </c>
      <c r="P100" s="229">
        <v>94.899000000000001</v>
      </c>
      <c r="Q100" s="229">
        <v>57.064999999999998</v>
      </c>
      <c r="R100" s="231"/>
      <c r="S100" s="229">
        <v>63.293999999999997</v>
      </c>
      <c r="T100" s="229">
        <v>0</v>
      </c>
      <c r="U100" s="229">
        <v>2.6859999999999999</v>
      </c>
      <c r="V100" s="229">
        <v>46.271999999999998</v>
      </c>
      <c r="W100" s="229">
        <v>39.271000000000001</v>
      </c>
      <c r="X100" s="229">
        <v>64.311000000000007</v>
      </c>
      <c r="Y100" s="180"/>
    </row>
    <row r="101" spans="1:25" s="230" customFormat="1" ht="15.6" x14ac:dyDescent="0.3">
      <c r="A101" s="202">
        <v>137</v>
      </c>
      <c r="B101" s="204" t="s">
        <v>255</v>
      </c>
      <c r="C101" s="225"/>
      <c r="D101" s="207">
        <v>48.578000000000003</v>
      </c>
      <c r="E101" s="207">
        <v>56.8</v>
      </c>
      <c r="F101" s="229">
        <v>31</v>
      </c>
      <c r="G101" s="229">
        <v>15.159000000000001</v>
      </c>
      <c r="H101" s="229">
        <v>2.0169999999999999</v>
      </c>
      <c r="I101" s="229">
        <v>0.54800000000000004</v>
      </c>
      <c r="J101" s="229">
        <v>0.29299999999999998</v>
      </c>
      <c r="K101" s="235">
        <f t="shared" si="1"/>
        <v>0</v>
      </c>
      <c r="L101" s="229">
        <v>0.23599999999999999</v>
      </c>
      <c r="M101" s="229">
        <v>0.223</v>
      </c>
      <c r="N101" s="229">
        <v>0.625</v>
      </c>
      <c r="O101" s="229">
        <v>9.1609999999999996</v>
      </c>
      <c r="P101" s="229">
        <v>346.42700000000002</v>
      </c>
      <c r="Q101" s="229">
        <v>90.367999999999995</v>
      </c>
      <c r="R101" s="231"/>
      <c r="S101" s="229">
        <v>30.19</v>
      </c>
      <c r="T101" s="229">
        <v>60.81</v>
      </c>
      <c r="U101" s="229">
        <v>3.5179999999999998</v>
      </c>
      <c r="V101" s="229">
        <v>32.529000000000003</v>
      </c>
      <c r="W101" s="229">
        <v>36.008000000000003</v>
      </c>
      <c r="X101" s="229">
        <v>60.453000000000003</v>
      </c>
      <c r="Y101" s="180"/>
    </row>
    <row r="102" spans="1:25" s="230" customFormat="1" ht="15.6" x14ac:dyDescent="0.3">
      <c r="A102" s="202">
        <v>138</v>
      </c>
      <c r="B102" s="204" t="s">
        <v>256</v>
      </c>
      <c r="C102" s="225"/>
      <c r="D102" s="207">
        <v>55.542999999999999</v>
      </c>
      <c r="E102" s="207">
        <v>71.5</v>
      </c>
      <c r="F102" s="229">
        <v>44.3</v>
      </c>
      <c r="G102" s="229">
        <v>26.611999999999998</v>
      </c>
      <c r="H102" s="229">
        <v>2.7509999999999999</v>
      </c>
      <c r="I102" s="229">
        <v>1.2410000000000001</v>
      </c>
      <c r="J102" s="229">
        <v>0.36399999999999999</v>
      </c>
      <c r="K102" s="235">
        <f t="shared" si="1"/>
        <v>0</v>
      </c>
      <c r="L102" s="229">
        <v>0.307</v>
      </c>
      <c r="M102" s="229">
        <v>0.27500000000000002</v>
      </c>
      <c r="N102" s="229">
        <v>0.41299999999999998</v>
      </c>
      <c r="O102" s="229">
        <v>9.2769999999999992</v>
      </c>
      <c r="P102" s="229">
        <v>256.56799999999998</v>
      </c>
      <c r="Q102" s="229">
        <v>53.378</v>
      </c>
      <c r="R102" s="231"/>
      <c r="S102" s="229">
        <v>38.999000000000002</v>
      </c>
      <c r="T102" s="229">
        <v>68.367000000000004</v>
      </c>
      <c r="U102" s="229">
        <v>3.6640000000000001</v>
      </c>
      <c r="V102" s="229">
        <v>19.416</v>
      </c>
      <c r="W102" s="229">
        <v>24.388999999999999</v>
      </c>
      <c r="X102" s="229">
        <v>32.786000000000001</v>
      </c>
      <c r="Y102" s="180"/>
    </row>
    <row r="103" spans="1:25" s="230" customFormat="1" ht="15.6" x14ac:dyDescent="0.3">
      <c r="A103" s="202">
        <v>139</v>
      </c>
      <c r="B103" s="204" t="s">
        <v>257</v>
      </c>
      <c r="C103" s="225"/>
      <c r="D103" s="207">
        <v>46.152999999999999</v>
      </c>
      <c r="E103" s="207">
        <v>61</v>
      </c>
      <c r="F103" s="229">
        <v>34.799999999999997</v>
      </c>
      <c r="G103" s="229">
        <v>18.582000000000001</v>
      </c>
      <c r="H103" s="229">
        <v>2.4740000000000002</v>
      </c>
      <c r="I103" s="229">
        <v>0.59799999999999998</v>
      </c>
      <c r="J103" s="229">
        <v>0.33400000000000002</v>
      </c>
      <c r="K103" s="235">
        <f t="shared" si="1"/>
        <v>0</v>
      </c>
      <c r="L103" s="229">
        <v>0.23699999999999999</v>
      </c>
      <c r="M103" s="229">
        <v>0.254</v>
      </c>
      <c r="N103" s="229">
        <v>1.0840000000000001</v>
      </c>
      <c r="O103" s="229">
        <v>9.1880000000000006</v>
      </c>
      <c r="P103" s="229">
        <v>393.86500000000001</v>
      </c>
      <c r="Q103" s="229">
        <v>95.147000000000006</v>
      </c>
      <c r="R103" s="231"/>
      <c r="S103" s="229">
        <v>34.216000000000001</v>
      </c>
      <c r="T103" s="229">
        <v>62.802</v>
      </c>
      <c r="U103" s="229">
        <v>3.8929999999999998</v>
      </c>
      <c r="V103" s="229">
        <v>25.934999999999999</v>
      </c>
      <c r="W103" s="229">
        <v>31.231000000000002</v>
      </c>
      <c r="X103" s="229">
        <v>53.222000000000001</v>
      </c>
      <c r="Y103" s="180"/>
    </row>
    <row r="104" spans="1:25" s="230" customFormat="1" ht="15.6" x14ac:dyDescent="0.3">
      <c r="A104" s="202">
        <v>140</v>
      </c>
      <c r="B104" s="204" t="s">
        <v>258</v>
      </c>
      <c r="C104" s="225"/>
      <c r="D104" s="207">
        <v>50.610999999999997</v>
      </c>
      <c r="E104" s="207">
        <v>64.099999999999994</v>
      </c>
      <c r="F104" s="229">
        <v>37.5</v>
      </c>
      <c r="G104" s="229">
        <v>23.195</v>
      </c>
      <c r="H104" s="229">
        <v>2.8420000000000001</v>
      </c>
      <c r="I104" s="229">
        <v>0.95399999999999996</v>
      </c>
      <c r="J104" s="229">
        <v>0.38</v>
      </c>
      <c r="K104" s="235">
        <f t="shared" si="1"/>
        <v>0</v>
      </c>
      <c r="L104" s="229">
        <v>0.27700000000000002</v>
      </c>
      <c r="M104" s="229">
        <v>0.27300000000000002</v>
      </c>
      <c r="N104" s="229">
        <v>0.83899999999999997</v>
      </c>
      <c r="O104" s="229">
        <v>8.923</v>
      </c>
      <c r="P104" s="229">
        <v>314.00599999999997</v>
      </c>
      <c r="Q104" s="229">
        <v>90.328000000000003</v>
      </c>
      <c r="R104" s="231"/>
      <c r="S104" s="229">
        <v>30.606999999999999</v>
      </c>
      <c r="T104" s="229">
        <v>63.945999999999998</v>
      </c>
      <c r="U104" s="229">
        <v>4.0540000000000003</v>
      </c>
      <c r="V104" s="229">
        <v>25.327999999999999</v>
      </c>
      <c r="W104" s="229">
        <v>27.707999999999998</v>
      </c>
      <c r="X104" s="229">
        <v>43.588999999999999</v>
      </c>
      <c r="Y104" s="180"/>
    </row>
    <row r="105" spans="1:25" s="230" customFormat="1" ht="15.6" x14ac:dyDescent="0.3">
      <c r="A105" s="202">
        <v>141</v>
      </c>
      <c r="B105" s="204" t="s">
        <v>259</v>
      </c>
      <c r="C105" s="225"/>
      <c r="D105" s="207">
        <v>93.885000000000005</v>
      </c>
      <c r="E105" s="207">
        <v>0</v>
      </c>
      <c r="F105" s="229">
        <v>0</v>
      </c>
      <c r="G105" s="229">
        <v>5.3520000000000003</v>
      </c>
      <c r="H105" s="229">
        <v>1.0189999999999999</v>
      </c>
      <c r="I105" s="229">
        <v>0.89500000000000002</v>
      </c>
      <c r="J105" s="229">
        <v>0.09</v>
      </c>
      <c r="K105" s="235">
        <f t="shared" si="1"/>
        <v>0</v>
      </c>
      <c r="L105" s="229">
        <v>8.5999999999999993E-2</v>
      </c>
      <c r="M105" s="229">
        <v>0.13900000000000001</v>
      </c>
      <c r="N105" s="229">
        <v>0.40100000000000002</v>
      </c>
      <c r="O105" s="229">
        <v>5.3710000000000004</v>
      </c>
      <c r="P105" s="229">
        <v>66.620999999999995</v>
      </c>
      <c r="Q105" s="229">
        <v>31.702999999999999</v>
      </c>
      <c r="R105" s="231"/>
      <c r="S105" s="229">
        <v>37.475000000000001</v>
      </c>
      <c r="T105" s="229">
        <v>0</v>
      </c>
      <c r="U105" s="229">
        <v>2.08</v>
      </c>
      <c r="V105" s="229">
        <v>49.363999999999997</v>
      </c>
      <c r="W105" s="229">
        <v>54.32</v>
      </c>
      <c r="X105" s="229">
        <v>70.331999999999994</v>
      </c>
      <c r="Y105" s="180"/>
    </row>
    <row r="106" spans="1:25" s="230" customFormat="1" ht="15.6" x14ac:dyDescent="0.3">
      <c r="A106" s="202">
        <v>142</v>
      </c>
      <c r="B106" s="231" t="s">
        <v>421</v>
      </c>
      <c r="C106" s="225"/>
      <c r="D106" s="231">
        <v>12.89</v>
      </c>
      <c r="E106" s="231">
        <v>76.42</v>
      </c>
      <c r="F106" s="229">
        <v>48.64</v>
      </c>
      <c r="G106" s="229">
        <v>18.41</v>
      </c>
      <c r="H106" s="229"/>
      <c r="I106" s="229">
        <v>0.28000000000000003</v>
      </c>
      <c r="J106" s="229">
        <v>0.53</v>
      </c>
      <c r="K106" s="235">
        <f t="shared" si="1"/>
        <v>0</v>
      </c>
      <c r="L106" s="229"/>
      <c r="M106" s="229"/>
      <c r="N106" s="229"/>
      <c r="O106" s="229"/>
      <c r="P106" s="229"/>
      <c r="Q106" s="229"/>
      <c r="R106" s="231"/>
      <c r="S106" s="229"/>
      <c r="T106" s="229">
        <v>69.56</v>
      </c>
      <c r="U106" s="229">
        <v>6.99</v>
      </c>
      <c r="V106" s="229"/>
      <c r="W106" s="229">
        <v>1.5</v>
      </c>
      <c r="X106" s="229">
        <v>7.4</v>
      </c>
      <c r="Y106" s="188"/>
    </row>
    <row r="107" spans="1:25" s="230" customFormat="1" ht="15.6" x14ac:dyDescent="0.3">
      <c r="A107" s="202">
        <v>143</v>
      </c>
      <c r="B107" s="231" t="s">
        <v>422</v>
      </c>
      <c r="C107" s="225">
        <v>3.33</v>
      </c>
      <c r="D107" s="231">
        <v>24.25</v>
      </c>
      <c r="E107" s="231">
        <v>91.8</v>
      </c>
      <c r="F107" s="229">
        <v>62</v>
      </c>
      <c r="G107" s="229">
        <v>17.893999999999998</v>
      </c>
      <c r="H107" s="229">
        <v>3.3</v>
      </c>
      <c r="I107" s="229">
        <v>0.4</v>
      </c>
      <c r="J107" s="229">
        <v>0.4</v>
      </c>
      <c r="K107" s="235">
        <f t="shared" ref="K107" si="2">C107</f>
        <v>3.33</v>
      </c>
      <c r="L107" s="229"/>
      <c r="M107" s="229">
        <v>0.22</v>
      </c>
      <c r="N107" s="229"/>
      <c r="O107" s="229"/>
      <c r="P107" s="229"/>
      <c r="Q107" s="229"/>
      <c r="R107" s="231"/>
      <c r="S107" s="229"/>
      <c r="T107" s="229">
        <v>82.7</v>
      </c>
      <c r="U107" s="229"/>
      <c r="V107" s="229"/>
      <c r="W107" s="229">
        <v>6.4</v>
      </c>
      <c r="X107" s="229">
        <v>30.7</v>
      </c>
      <c r="Y107" s="188"/>
    </row>
    <row r="108" spans="1:25" s="230" customFormat="1" ht="15.6" x14ac:dyDescent="0.3">
      <c r="A108" s="202">
        <v>144</v>
      </c>
      <c r="B108" s="231" t="s">
        <v>423</v>
      </c>
      <c r="C108" s="225"/>
      <c r="D108" s="231">
        <v>11.8</v>
      </c>
      <c r="E108" s="231">
        <v>71</v>
      </c>
      <c r="F108" s="229">
        <v>44</v>
      </c>
      <c r="G108" s="229">
        <v>23.5</v>
      </c>
      <c r="H108" s="229">
        <v>3.3</v>
      </c>
      <c r="I108" s="229">
        <v>0.4</v>
      </c>
      <c r="J108" s="229">
        <v>0.4</v>
      </c>
      <c r="K108" s="235">
        <f t="shared" si="1"/>
        <v>0</v>
      </c>
      <c r="L108" s="229"/>
      <c r="M108" s="229">
        <v>0.22</v>
      </c>
      <c r="N108" s="229"/>
      <c r="O108" s="229"/>
      <c r="P108" s="229"/>
      <c r="Q108" s="229"/>
      <c r="R108" s="231"/>
      <c r="S108" s="229"/>
      <c r="T108" s="229">
        <v>68</v>
      </c>
      <c r="U108" s="229"/>
      <c r="V108" s="229"/>
      <c r="W108" s="229">
        <v>26.9</v>
      </c>
      <c r="X108" s="229"/>
      <c r="Y108" s="188"/>
    </row>
    <row r="109" spans="1:25" s="230" customFormat="1" ht="15.6" x14ac:dyDescent="0.3">
      <c r="A109" s="202">
        <v>145</v>
      </c>
      <c r="B109" s="231"/>
      <c r="C109" s="225"/>
      <c r="D109" s="231"/>
      <c r="E109" s="231"/>
      <c r="F109" s="229"/>
      <c r="G109" s="229"/>
      <c r="H109" s="229"/>
      <c r="I109" s="229"/>
      <c r="J109" s="229"/>
      <c r="K109" s="235">
        <f t="shared" si="1"/>
        <v>0</v>
      </c>
      <c r="L109" s="229"/>
      <c r="M109" s="229"/>
      <c r="N109" s="229"/>
      <c r="O109" s="229"/>
      <c r="P109" s="229"/>
      <c r="Q109" s="229"/>
      <c r="R109" s="231"/>
      <c r="S109" s="229"/>
      <c r="T109" s="229"/>
      <c r="U109" s="229"/>
      <c r="V109" s="229"/>
      <c r="W109" s="229"/>
      <c r="X109" s="229"/>
      <c r="Y109" s="188"/>
    </row>
    <row r="110" spans="1:25" s="230" customFormat="1" ht="15.6" x14ac:dyDescent="0.3">
      <c r="A110" s="202">
        <v>146</v>
      </c>
      <c r="B110" s="231"/>
      <c r="C110" s="225"/>
      <c r="D110" s="231"/>
      <c r="E110" s="231"/>
      <c r="F110" s="229"/>
      <c r="G110" s="229"/>
      <c r="H110" s="229"/>
      <c r="I110" s="229"/>
      <c r="J110" s="229"/>
      <c r="K110" s="235">
        <f t="shared" si="1"/>
        <v>0</v>
      </c>
      <c r="L110" s="229"/>
      <c r="M110" s="229"/>
      <c r="N110" s="229"/>
      <c r="O110" s="229"/>
      <c r="P110" s="229"/>
      <c r="Q110" s="229"/>
      <c r="R110" s="231"/>
      <c r="S110" s="229"/>
      <c r="T110" s="229"/>
      <c r="U110" s="229"/>
      <c r="V110" s="229"/>
      <c r="W110" s="229"/>
      <c r="X110" s="229"/>
      <c r="Y110" s="188"/>
    </row>
    <row r="111" spans="1:25" s="230" customFormat="1" ht="15.6" x14ac:dyDescent="0.3">
      <c r="A111" s="202">
        <v>147</v>
      </c>
      <c r="B111" s="231"/>
      <c r="C111" s="225"/>
      <c r="D111" s="231"/>
      <c r="E111" s="231"/>
      <c r="F111" s="229"/>
      <c r="G111" s="229"/>
      <c r="H111" s="229"/>
      <c r="I111" s="229"/>
      <c r="J111" s="229"/>
      <c r="K111" s="235">
        <f t="shared" si="1"/>
        <v>0</v>
      </c>
      <c r="L111" s="229"/>
      <c r="M111" s="229"/>
      <c r="N111" s="229"/>
      <c r="O111" s="229"/>
      <c r="P111" s="229"/>
      <c r="Q111" s="229"/>
      <c r="R111" s="231"/>
      <c r="S111" s="229"/>
      <c r="T111" s="229"/>
      <c r="U111" s="229"/>
      <c r="V111" s="229"/>
      <c r="W111" s="229"/>
      <c r="X111" s="229"/>
      <c r="Y111" s="188"/>
    </row>
    <row r="112" spans="1:25" s="230" customFormat="1" ht="15.6" x14ac:dyDescent="0.3">
      <c r="A112" s="202">
        <v>148</v>
      </c>
      <c r="B112" s="231"/>
      <c r="C112" s="225"/>
      <c r="D112" s="231"/>
      <c r="E112" s="231"/>
      <c r="F112" s="229"/>
      <c r="G112" s="229"/>
      <c r="H112" s="229"/>
      <c r="I112" s="229"/>
      <c r="J112" s="229"/>
      <c r="K112" s="235">
        <f t="shared" si="1"/>
        <v>0</v>
      </c>
      <c r="L112" s="229"/>
      <c r="M112" s="229"/>
      <c r="N112" s="229"/>
      <c r="O112" s="229"/>
      <c r="P112" s="229"/>
      <c r="Q112" s="229"/>
      <c r="R112" s="231"/>
      <c r="S112" s="229"/>
      <c r="T112" s="229"/>
      <c r="U112" s="229"/>
      <c r="V112" s="229"/>
      <c r="W112" s="229"/>
      <c r="X112" s="229"/>
      <c r="Y112" s="188"/>
    </row>
    <row r="113" spans="1:25" s="230" customFormat="1" ht="15.6" x14ac:dyDescent="0.3">
      <c r="A113" s="202">
        <v>149</v>
      </c>
      <c r="B113" s="231"/>
      <c r="C113" s="225"/>
      <c r="D113" s="231"/>
      <c r="E113" s="231"/>
      <c r="F113" s="229"/>
      <c r="G113" s="229"/>
      <c r="H113" s="229"/>
      <c r="I113" s="229"/>
      <c r="J113" s="229"/>
      <c r="K113" s="235">
        <f t="shared" si="1"/>
        <v>0</v>
      </c>
      <c r="L113" s="229"/>
      <c r="M113" s="229"/>
      <c r="N113" s="229"/>
      <c r="O113" s="229"/>
      <c r="P113" s="229"/>
      <c r="Q113" s="229"/>
      <c r="R113" s="231"/>
      <c r="S113" s="229"/>
      <c r="T113" s="229"/>
      <c r="U113" s="229"/>
      <c r="V113" s="229"/>
      <c r="W113" s="229"/>
      <c r="X113" s="229"/>
      <c r="Y113" s="188"/>
    </row>
    <row r="114" spans="1:25" s="230" customFormat="1" ht="15.6" x14ac:dyDescent="0.3">
      <c r="A114" s="202">
        <v>150</v>
      </c>
      <c r="B114" s="231"/>
      <c r="C114" s="225"/>
      <c r="D114" s="231"/>
      <c r="E114" s="231"/>
      <c r="F114" s="229"/>
      <c r="G114" s="229"/>
      <c r="H114" s="229"/>
      <c r="I114" s="229"/>
      <c r="J114" s="229"/>
      <c r="K114" s="235">
        <f t="shared" si="1"/>
        <v>0</v>
      </c>
      <c r="L114" s="229"/>
      <c r="M114" s="229"/>
      <c r="N114" s="229"/>
      <c r="O114" s="229"/>
      <c r="P114" s="229"/>
      <c r="Q114" s="229"/>
      <c r="R114" s="231"/>
      <c r="S114" s="229"/>
      <c r="T114" s="229"/>
      <c r="U114" s="229"/>
      <c r="V114" s="229"/>
      <c r="W114" s="229"/>
      <c r="X114" s="229"/>
      <c r="Y114" s="231"/>
    </row>
    <row r="115" spans="1:25" s="230" customFormat="1" ht="15.6" x14ac:dyDescent="0.3">
      <c r="A115" s="202">
        <v>151</v>
      </c>
      <c r="B115" s="231"/>
      <c r="C115" s="225"/>
      <c r="D115" s="231"/>
      <c r="E115" s="231"/>
      <c r="F115" s="229"/>
      <c r="G115" s="229"/>
      <c r="H115" s="229"/>
      <c r="I115" s="229"/>
      <c r="J115" s="229"/>
      <c r="K115" s="235">
        <f t="shared" si="1"/>
        <v>0</v>
      </c>
      <c r="L115" s="229"/>
      <c r="M115" s="229"/>
      <c r="N115" s="229"/>
      <c r="O115" s="229"/>
      <c r="P115" s="229"/>
      <c r="Q115" s="229"/>
      <c r="R115" s="231"/>
      <c r="S115" s="229"/>
      <c r="T115" s="229"/>
      <c r="U115" s="229"/>
      <c r="V115" s="229"/>
      <c r="W115" s="229"/>
      <c r="X115" s="229"/>
      <c r="Y115" s="231"/>
    </row>
    <row r="116" spans="1:25" s="230" customFormat="1" ht="15.6" x14ac:dyDescent="0.3">
      <c r="A116" s="199" t="s">
        <v>260</v>
      </c>
      <c r="B116" s="231"/>
      <c r="C116" s="225"/>
      <c r="D116" s="231"/>
      <c r="E116" s="231"/>
      <c r="F116" s="229"/>
      <c r="G116" s="229"/>
      <c r="H116" s="229"/>
      <c r="I116" s="229"/>
      <c r="J116" s="229"/>
      <c r="K116" s="235"/>
      <c r="L116" s="229"/>
      <c r="M116" s="229"/>
      <c r="N116" s="229"/>
      <c r="O116" s="229"/>
      <c r="P116" s="229"/>
      <c r="Q116" s="229"/>
      <c r="R116" s="231"/>
      <c r="S116" s="229"/>
      <c r="T116" s="229"/>
      <c r="U116" s="229"/>
      <c r="V116" s="229"/>
      <c r="W116" s="229"/>
      <c r="X116" s="229"/>
      <c r="Y116" s="231"/>
    </row>
    <row r="117" spans="1:25" s="230" customFormat="1" ht="15.6" x14ac:dyDescent="0.3">
      <c r="A117" s="202">
        <v>201</v>
      </c>
      <c r="B117" s="204" t="s">
        <v>261</v>
      </c>
      <c r="C117" s="225"/>
      <c r="D117" s="207">
        <v>37.587000000000003</v>
      </c>
      <c r="E117" s="207">
        <v>58.8</v>
      </c>
      <c r="F117" s="229">
        <v>32.800000000000004</v>
      </c>
      <c r="G117" s="229">
        <v>12.292</v>
      </c>
      <c r="H117" s="229">
        <v>2.202</v>
      </c>
      <c r="I117" s="229">
        <v>0.44600000000000001</v>
      </c>
      <c r="J117" s="229">
        <v>0.30399999999999999</v>
      </c>
      <c r="K117" s="235">
        <f t="shared" si="1"/>
        <v>0</v>
      </c>
      <c r="L117" s="229">
        <v>0.17899999999999999</v>
      </c>
      <c r="M117" s="229">
        <v>0.17199999999999999</v>
      </c>
      <c r="N117" s="229">
        <v>1.9970000000000001</v>
      </c>
      <c r="O117" s="229">
        <v>7.9829999999999997</v>
      </c>
      <c r="P117" s="229">
        <v>491.61200000000002</v>
      </c>
      <c r="Q117" s="229">
        <v>42.545000000000002</v>
      </c>
      <c r="R117" s="231"/>
      <c r="S117" s="229">
        <v>31.571000000000002</v>
      </c>
      <c r="T117" s="229">
        <v>61.46</v>
      </c>
      <c r="U117" s="229">
        <v>3.5089999999999999</v>
      </c>
      <c r="V117" s="229">
        <v>29.952999999999999</v>
      </c>
      <c r="W117" s="229">
        <v>35.130000000000003</v>
      </c>
      <c r="X117" s="229">
        <v>54.896000000000001</v>
      </c>
      <c r="Y117" s="231"/>
    </row>
    <row r="118" spans="1:25" s="230" customFormat="1" ht="15.6" x14ac:dyDescent="0.3">
      <c r="A118" s="202">
        <v>202</v>
      </c>
      <c r="B118" s="204" t="s">
        <v>262</v>
      </c>
      <c r="C118" s="225"/>
      <c r="D118" s="207">
        <v>39.345999999999997</v>
      </c>
      <c r="E118" s="207">
        <v>49.7</v>
      </c>
      <c r="F118" s="229">
        <v>24.5</v>
      </c>
      <c r="G118" s="229">
        <v>13.441000000000001</v>
      </c>
      <c r="H118" s="229">
        <v>2.194</v>
      </c>
      <c r="I118" s="229">
        <v>0.52600000000000002</v>
      </c>
      <c r="J118" s="229">
        <v>0.28799999999999998</v>
      </c>
      <c r="K118" s="235">
        <f t="shared" si="1"/>
        <v>0</v>
      </c>
      <c r="L118" s="229">
        <v>0.23400000000000001</v>
      </c>
      <c r="M118" s="229">
        <v>0.23899999999999999</v>
      </c>
      <c r="N118" s="229">
        <v>0</v>
      </c>
      <c r="O118" s="229">
        <v>13.61</v>
      </c>
      <c r="P118" s="229">
        <v>701.73500000000001</v>
      </c>
      <c r="Q118" s="229">
        <v>98.024000000000001</v>
      </c>
      <c r="R118" s="231"/>
      <c r="S118" s="229">
        <v>43.341999999999999</v>
      </c>
      <c r="T118" s="229">
        <v>56.485999999999997</v>
      </c>
      <c r="U118" s="229">
        <v>3.254</v>
      </c>
      <c r="V118" s="229">
        <v>32.445999999999998</v>
      </c>
      <c r="W118" s="229">
        <v>40.246000000000002</v>
      </c>
      <c r="X118" s="229">
        <v>66.513000000000005</v>
      </c>
      <c r="Y118" s="231"/>
    </row>
    <row r="119" spans="1:25" s="230" customFormat="1" ht="15.6" x14ac:dyDescent="0.3">
      <c r="A119" s="202">
        <v>203</v>
      </c>
      <c r="B119" s="204" t="s">
        <v>263</v>
      </c>
      <c r="C119" s="225"/>
      <c r="D119" s="207">
        <v>46.978000000000002</v>
      </c>
      <c r="E119" s="207">
        <v>68.7</v>
      </c>
      <c r="F119" s="229">
        <v>41.8</v>
      </c>
      <c r="G119" s="229">
        <v>8.8480000000000008</v>
      </c>
      <c r="H119" s="229">
        <v>1.5960000000000001</v>
      </c>
      <c r="I119" s="229">
        <v>0.45600000000000002</v>
      </c>
      <c r="J119" s="229">
        <v>0.29399999999999998</v>
      </c>
      <c r="K119" s="235">
        <f t="shared" si="1"/>
        <v>0</v>
      </c>
      <c r="L119" s="229">
        <v>0.224</v>
      </c>
      <c r="M119" s="229">
        <v>8.6999999999999994E-2</v>
      </c>
      <c r="N119" s="229">
        <v>0</v>
      </c>
      <c r="O119" s="229">
        <v>7.5250000000000004</v>
      </c>
      <c r="P119" s="229">
        <v>300.548</v>
      </c>
      <c r="Q119" s="229">
        <v>42.537999999999997</v>
      </c>
      <c r="R119" s="231"/>
      <c r="S119" s="229">
        <v>31.202000000000002</v>
      </c>
      <c r="T119" s="229">
        <v>66.135000000000005</v>
      </c>
      <c r="U119" s="229">
        <v>11.38</v>
      </c>
      <c r="V119" s="229">
        <v>0</v>
      </c>
      <c r="W119" s="229">
        <v>29.745000000000001</v>
      </c>
      <c r="X119" s="229">
        <v>47.71</v>
      </c>
      <c r="Y119" s="231"/>
    </row>
    <row r="120" spans="1:25" s="230" customFormat="1" ht="15.6" x14ac:dyDescent="0.3">
      <c r="A120" s="202">
        <v>204</v>
      </c>
      <c r="B120" s="204" t="s">
        <v>29</v>
      </c>
      <c r="C120" s="225"/>
      <c r="D120" s="207">
        <v>33.734999999999999</v>
      </c>
      <c r="E120" s="207">
        <v>73.2</v>
      </c>
      <c r="F120" s="229">
        <v>45.800000000000004</v>
      </c>
      <c r="G120" s="229">
        <v>8.2490000000000006</v>
      </c>
      <c r="H120" s="229">
        <v>1.091</v>
      </c>
      <c r="I120" s="229">
        <v>0.247</v>
      </c>
      <c r="J120" s="229">
        <v>0.23499999999999999</v>
      </c>
      <c r="K120" s="235">
        <f t="shared" si="1"/>
        <v>0</v>
      </c>
      <c r="L120" s="229">
        <v>0.17100000000000001</v>
      </c>
      <c r="M120" s="229">
        <v>0.1</v>
      </c>
      <c r="N120" s="229">
        <v>0.95299999999999996</v>
      </c>
      <c r="O120" s="229">
        <v>6.5220000000000002</v>
      </c>
      <c r="P120" s="229">
        <v>194.77500000000001</v>
      </c>
      <c r="Q120" s="229">
        <v>31.007999999999999</v>
      </c>
      <c r="R120" s="207">
        <v>0.09</v>
      </c>
      <c r="S120" s="229">
        <v>24.827000000000002</v>
      </c>
      <c r="T120" s="229">
        <v>70.599999999999994</v>
      </c>
      <c r="U120" s="229">
        <v>3.3180000000000001</v>
      </c>
      <c r="V120" s="229">
        <v>22.076000000000001</v>
      </c>
      <c r="W120" s="229">
        <v>25.943999999999999</v>
      </c>
      <c r="X120" s="229">
        <v>43.875999999999998</v>
      </c>
      <c r="Y120" s="207">
        <v>70</v>
      </c>
    </row>
    <row r="121" spans="1:25" s="230" customFormat="1" ht="15.6" x14ac:dyDescent="0.3">
      <c r="A121" s="202">
        <v>205</v>
      </c>
      <c r="B121" s="204" t="s">
        <v>264</v>
      </c>
      <c r="C121" s="225"/>
      <c r="D121" s="207">
        <v>67.974000000000004</v>
      </c>
      <c r="E121" s="207">
        <v>38.5</v>
      </c>
      <c r="F121" s="229">
        <v>14.399999999999999</v>
      </c>
      <c r="G121" s="229">
        <v>6.0590000000000002</v>
      </c>
      <c r="H121" s="229">
        <v>1.101</v>
      </c>
      <c r="I121" s="229">
        <v>0.90200000000000002</v>
      </c>
      <c r="J121" s="229">
        <v>0.16400000000000001</v>
      </c>
      <c r="K121" s="235">
        <f t="shared" si="1"/>
        <v>0</v>
      </c>
      <c r="L121" s="229">
        <v>0.248</v>
      </c>
      <c r="M121" s="229">
        <v>0.09</v>
      </c>
      <c r="N121" s="229">
        <v>0.108</v>
      </c>
      <c r="O121" s="229">
        <v>8.4459999999999997</v>
      </c>
      <c r="P121" s="229">
        <v>1435.953</v>
      </c>
      <c r="Q121" s="229">
        <v>82.391999999999996</v>
      </c>
      <c r="R121" s="231"/>
      <c r="S121" s="229">
        <v>38.100999999999999</v>
      </c>
      <c r="T121" s="229">
        <v>49.945</v>
      </c>
      <c r="U121" s="229">
        <v>1.9490000000000001</v>
      </c>
      <c r="V121" s="229">
        <v>44.353999999999999</v>
      </c>
      <c r="W121" s="229">
        <v>47.095999999999997</v>
      </c>
      <c r="X121" s="229">
        <v>70.686000000000007</v>
      </c>
      <c r="Y121" s="231"/>
    </row>
    <row r="122" spans="1:25" s="230" customFormat="1" ht="15.6" x14ac:dyDescent="0.3">
      <c r="A122" s="202">
        <v>206</v>
      </c>
      <c r="B122" s="204" t="s">
        <v>265</v>
      </c>
      <c r="C122" s="225"/>
      <c r="D122" s="207">
        <v>39.100999999999999</v>
      </c>
      <c r="E122" s="207">
        <v>56.999999999999993</v>
      </c>
      <c r="F122" s="229">
        <v>31.1</v>
      </c>
      <c r="G122" s="229">
        <v>15.173</v>
      </c>
      <c r="H122" s="229">
        <v>2.5070000000000001</v>
      </c>
      <c r="I122" s="229">
        <v>0.64300000000000002</v>
      </c>
      <c r="J122" s="229">
        <v>0.32900000000000001</v>
      </c>
      <c r="K122" s="235">
        <f t="shared" si="1"/>
        <v>0</v>
      </c>
      <c r="L122" s="229">
        <v>0.22800000000000001</v>
      </c>
      <c r="M122" s="229">
        <v>0.21299999999999999</v>
      </c>
      <c r="N122" s="229">
        <v>0.94499999999999995</v>
      </c>
      <c r="O122" s="229">
        <v>10.653</v>
      </c>
      <c r="P122" s="229">
        <v>636.89599999999996</v>
      </c>
      <c r="Q122" s="229">
        <v>92.102999999999994</v>
      </c>
      <c r="R122" s="231"/>
      <c r="S122" s="229">
        <v>36.296999999999997</v>
      </c>
      <c r="T122" s="229">
        <v>60.4</v>
      </c>
      <c r="U122" s="229">
        <v>3.9849999999999999</v>
      </c>
      <c r="V122" s="229">
        <v>32.921999999999997</v>
      </c>
      <c r="W122" s="229">
        <v>37.527000000000001</v>
      </c>
      <c r="X122" s="229">
        <v>57.698999999999998</v>
      </c>
      <c r="Y122" s="231"/>
    </row>
    <row r="123" spans="1:25" s="230" customFormat="1" ht="15.6" x14ac:dyDescent="0.3">
      <c r="A123" s="202">
        <v>207</v>
      </c>
      <c r="B123" s="204" t="s">
        <v>266</v>
      </c>
      <c r="C123" s="225"/>
      <c r="D123" s="207">
        <v>40.279000000000003</v>
      </c>
      <c r="E123" s="207">
        <v>57.699999999999996</v>
      </c>
      <c r="F123" s="229">
        <v>31.8</v>
      </c>
      <c r="G123" s="229">
        <v>21.388999999999999</v>
      </c>
      <c r="H123" s="229">
        <v>2.7629999999999999</v>
      </c>
      <c r="I123" s="229">
        <v>1.4259999999999999</v>
      </c>
      <c r="J123" s="229">
        <v>0.33400000000000002</v>
      </c>
      <c r="K123" s="235">
        <f t="shared" si="1"/>
        <v>0</v>
      </c>
      <c r="L123" s="229">
        <v>0.27600000000000002</v>
      </c>
      <c r="M123" s="229">
        <v>0.248</v>
      </c>
      <c r="N123" s="229">
        <v>0.753</v>
      </c>
      <c r="O123" s="229">
        <v>91.528999999999996</v>
      </c>
      <c r="P123" s="229">
        <v>481.85500000000002</v>
      </c>
      <c r="Q123" s="229">
        <v>43.960999999999999</v>
      </c>
      <c r="R123" s="231"/>
      <c r="S123" s="229">
        <v>25.791</v>
      </c>
      <c r="T123" s="229">
        <v>59.744999999999997</v>
      </c>
      <c r="U123" s="229">
        <v>3.8340000000000001</v>
      </c>
      <c r="V123" s="229">
        <v>25.356999999999999</v>
      </c>
      <c r="W123" s="229">
        <v>34.561</v>
      </c>
      <c r="X123" s="229">
        <v>44.255000000000003</v>
      </c>
      <c r="Y123" s="231"/>
    </row>
    <row r="124" spans="1:25" s="230" customFormat="1" ht="15.6" x14ac:dyDescent="0.3">
      <c r="A124" s="202">
        <v>208</v>
      </c>
      <c r="B124" s="204" t="s">
        <v>267</v>
      </c>
      <c r="C124" s="225"/>
      <c r="D124" s="207">
        <v>38.279000000000003</v>
      </c>
      <c r="E124" s="207">
        <v>46.9</v>
      </c>
      <c r="F124" s="229">
        <v>21.9</v>
      </c>
      <c r="G124" s="229">
        <v>12.56</v>
      </c>
      <c r="H124" s="229">
        <v>2.8410000000000002</v>
      </c>
      <c r="I124" s="229">
        <v>0.54400000000000004</v>
      </c>
      <c r="J124" s="229">
        <v>0.32900000000000001</v>
      </c>
      <c r="K124" s="235">
        <f t="shared" si="1"/>
        <v>0</v>
      </c>
      <c r="L124" s="229">
        <v>0.377</v>
      </c>
      <c r="M124" s="229">
        <v>0.19800000000000001</v>
      </c>
      <c r="N124" s="229">
        <v>0</v>
      </c>
      <c r="O124" s="229">
        <v>14.301</v>
      </c>
      <c r="P124" s="229">
        <v>954.65899999999999</v>
      </c>
      <c r="Q124" s="229">
        <v>129.69399999999999</v>
      </c>
      <c r="R124" s="231"/>
      <c r="S124" s="229">
        <v>47.101999999999997</v>
      </c>
      <c r="T124" s="229">
        <v>54.773000000000003</v>
      </c>
      <c r="U124" s="229">
        <v>2.3570000000000002</v>
      </c>
      <c r="V124" s="229">
        <v>34.790999999999997</v>
      </c>
      <c r="W124" s="229">
        <v>39.933999999999997</v>
      </c>
      <c r="X124" s="229">
        <v>62.103999999999999</v>
      </c>
      <c r="Y124" s="231"/>
    </row>
    <row r="125" spans="1:25" s="230" customFormat="1" ht="15.6" x14ac:dyDescent="0.3">
      <c r="A125" s="202">
        <v>209</v>
      </c>
      <c r="B125" s="204" t="s">
        <v>268</v>
      </c>
      <c r="C125" s="225"/>
      <c r="D125" s="207">
        <v>38.006</v>
      </c>
      <c r="E125" s="207">
        <v>51.800000000000004</v>
      </c>
      <c r="F125" s="229">
        <v>26.400000000000002</v>
      </c>
      <c r="G125" s="229">
        <v>12.134</v>
      </c>
      <c r="H125" s="229">
        <v>2.141</v>
      </c>
      <c r="I125" s="229">
        <v>0.84299999999999997</v>
      </c>
      <c r="J125" s="229">
        <v>0.32400000000000001</v>
      </c>
      <c r="K125" s="235">
        <f t="shared" si="1"/>
        <v>0</v>
      </c>
      <c r="L125" s="229">
        <v>0.36899999999999999</v>
      </c>
      <c r="M125" s="229">
        <v>0.193</v>
      </c>
      <c r="N125" s="229">
        <v>0</v>
      </c>
      <c r="O125" s="229">
        <v>8.9789999999999992</v>
      </c>
      <c r="P125" s="229">
        <v>361.36399999999998</v>
      </c>
      <c r="Q125" s="229">
        <v>76.498000000000005</v>
      </c>
      <c r="R125" s="231"/>
      <c r="S125" s="229">
        <v>40.704999999999998</v>
      </c>
      <c r="T125" s="229">
        <v>56.994999999999997</v>
      </c>
      <c r="U125" s="229">
        <v>2.9940000000000002</v>
      </c>
      <c r="V125" s="229">
        <v>0</v>
      </c>
      <c r="W125" s="229">
        <v>40.027999999999999</v>
      </c>
      <c r="X125" s="229">
        <v>56.725999999999999</v>
      </c>
      <c r="Y125" s="231"/>
    </row>
    <row r="126" spans="1:25" s="230" customFormat="1" ht="15.6" x14ac:dyDescent="0.3">
      <c r="A126" s="202">
        <v>210</v>
      </c>
      <c r="B126" s="204" t="s">
        <v>269</v>
      </c>
      <c r="C126" s="225"/>
      <c r="D126" s="207">
        <v>30.672000000000001</v>
      </c>
      <c r="E126" s="207">
        <v>53.300000000000004</v>
      </c>
      <c r="F126" s="229">
        <v>27.800000000000004</v>
      </c>
      <c r="G126" s="229">
        <v>11.936</v>
      </c>
      <c r="H126" s="229">
        <v>2.1120000000000001</v>
      </c>
      <c r="I126" s="229">
        <v>0.72199999999999998</v>
      </c>
      <c r="J126" s="229">
        <v>0.27600000000000002</v>
      </c>
      <c r="K126" s="235">
        <f t="shared" si="1"/>
        <v>0</v>
      </c>
      <c r="L126" s="229">
        <v>0.28699999999999998</v>
      </c>
      <c r="M126" s="229">
        <v>0.158</v>
      </c>
      <c r="N126" s="229">
        <v>0</v>
      </c>
      <c r="O126" s="229">
        <v>11.407</v>
      </c>
      <c r="P126" s="229">
        <v>646.34699999999998</v>
      </c>
      <c r="Q126" s="229">
        <v>55.06</v>
      </c>
      <c r="R126" s="231"/>
      <c r="S126" s="229">
        <v>33.523000000000003</v>
      </c>
      <c r="T126" s="229">
        <v>57.889000000000003</v>
      </c>
      <c r="U126" s="229">
        <v>3.3980000000000001</v>
      </c>
      <c r="V126" s="229">
        <v>0</v>
      </c>
      <c r="W126" s="229">
        <v>37.402000000000001</v>
      </c>
      <c r="X126" s="229">
        <v>55.652999999999999</v>
      </c>
      <c r="Y126" s="231"/>
    </row>
    <row r="127" spans="1:25" s="230" customFormat="1" ht="15.6" x14ac:dyDescent="0.3">
      <c r="A127" s="202">
        <v>211</v>
      </c>
      <c r="B127" s="204" t="s">
        <v>270</v>
      </c>
      <c r="C127" s="225"/>
      <c r="D127" s="207">
        <v>38.738999999999997</v>
      </c>
      <c r="E127" s="207">
        <v>56.000000000000007</v>
      </c>
      <c r="F127" s="229">
        <v>30.2</v>
      </c>
      <c r="G127" s="229">
        <v>15.782</v>
      </c>
      <c r="H127" s="229">
        <v>2.4300000000000002</v>
      </c>
      <c r="I127" s="229">
        <v>0.84599999999999997</v>
      </c>
      <c r="J127" s="229">
        <v>0.32</v>
      </c>
      <c r="K127" s="235">
        <f t="shared" si="1"/>
        <v>0</v>
      </c>
      <c r="L127" s="229">
        <v>0.23699999999999999</v>
      </c>
      <c r="M127" s="229">
        <v>0.20699999999999999</v>
      </c>
      <c r="N127" s="229">
        <v>0.71899999999999997</v>
      </c>
      <c r="O127" s="229">
        <v>9.4719999999999995</v>
      </c>
      <c r="P127" s="229">
        <v>381.952</v>
      </c>
      <c r="Q127" s="229">
        <v>66.186999999999998</v>
      </c>
      <c r="R127" s="231"/>
      <c r="S127" s="229">
        <v>30.853999999999999</v>
      </c>
      <c r="T127" s="229">
        <v>59.563000000000002</v>
      </c>
      <c r="U127" s="229">
        <v>3.9340000000000002</v>
      </c>
      <c r="V127" s="229">
        <v>27.768000000000001</v>
      </c>
      <c r="W127" s="229">
        <v>37.726999999999997</v>
      </c>
      <c r="X127" s="229">
        <v>56.003</v>
      </c>
      <c r="Y127" s="231"/>
    </row>
    <row r="128" spans="1:25" s="230" customFormat="1" ht="15.6" x14ac:dyDescent="0.3">
      <c r="A128" s="202">
        <v>212</v>
      </c>
      <c r="B128" s="204" t="s">
        <v>271</v>
      </c>
      <c r="C128" s="225"/>
      <c r="D128" s="207">
        <v>38.79</v>
      </c>
      <c r="E128" s="207">
        <v>57.099999999999994</v>
      </c>
      <c r="F128" s="229">
        <v>31.2</v>
      </c>
      <c r="G128" s="229">
        <v>19.483000000000001</v>
      </c>
      <c r="H128" s="229">
        <v>2.6659999999999999</v>
      </c>
      <c r="I128" s="229">
        <v>1.2490000000000001</v>
      </c>
      <c r="J128" s="229">
        <v>0.33300000000000002</v>
      </c>
      <c r="K128" s="235">
        <f t="shared" si="1"/>
        <v>0</v>
      </c>
      <c r="L128" s="229">
        <v>0.26300000000000001</v>
      </c>
      <c r="M128" s="229">
        <v>0.23100000000000001</v>
      </c>
      <c r="N128" s="229">
        <v>1.0860000000000001</v>
      </c>
      <c r="O128" s="229">
        <v>9.9890000000000008</v>
      </c>
      <c r="P128" s="229">
        <v>374.40800000000002</v>
      </c>
      <c r="Q128" s="229">
        <v>42.604999999999997</v>
      </c>
      <c r="R128" s="231"/>
      <c r="S128" s="229">
        <v>26.100999999999999</v>
      </c>
      <c r="T128" s="229">
        <v>59.676000000000002</v>
      </c>
      <c r="U128" s="229">
        <v>3.8940000000000001</v>
      </c>
      <c r="V128" s="229">
        <v>25.882000000000001</v>
      </c>
      <c r="W128" s="229">
        <v>36.040999999999997</v>
      </c>
      <c r="X128" s="229">
        <v>48.377000000000002</v>
      </c>
      <c r="Y128" s="231"/>
    </row>
    <row r="129" spans="1:25" s="230" customFormat="1" ht="15.6" x14ac:dyDescent="0.3">
      <c r="A129" s="202">
        <v>213</v>
      </c>
      <c r="B129" s="204" t="s">
        <v>272</v>
      </c>
      <c r="C129" s="225"/>
      <c r="D129" s="207">
        <v>35.488</v>
      </c>
      <c r="E129" s="207">
        <v>55.800000000000004</v>
      </c>
      <c r="F129" s="229">
        <v>30</v>
      </c>
      <c r="G129" s="229">
        <v>13.022</v>
      </c>
      <c r="H129" s="229">
        <v>2.6659999999999999</v>
      </c>
      <c r="I129" s="229">
        <v>0.52400000000000002</v>
      </c>
      <c r="J129" s="229">
        <v>0.32700000000000001</v>
      </c>
      <c r="K129" s="235">
        <f t="shared" si="1"/>
        <v>0</v>
      </c>
      <c r="L129" s="229">
        <v>0.192</v>
      </c>
      <c r="M129" s="229">
        <v>0.185</v>
      </c>
      <c r="N129" s="229">
        <v>1.157</v>
      </c>
      <c r="O129" s="229">
        <v>9.4879999999999995</v>
      </c>
      <c r="P129" s="229">
        <v>584.60900000000004</v>
      </c>
      <c r="Q129" s="229">
        <v>66.424000000000007</v>
      </c>
      <c r="R129" s="231"/>
      <c r="S129" s="229">
        <v>28.007999999999999</v>
      </c>
      <c r="T129" s="229">
        <v>59.585999999999999</v>
      </c>
      <c r="U129" s="229">
        <v>3.718</v>
      </c>
      <c r="V129" s="229">
        <v>29.959</v>
      </c>
      <c r="W129" s="229">
        <v>38.728000000000002</v>
      </c>
      <c r="X129" s="229">
        <v>58.767000000000003</v>
      </c>
      <c r="Y129" s="231"/>
    </row>
    <row r="130" spans="1:25" s="230" customFormat="1" ht="15.6" x14ac:dyDescent="0.3">
      <c r="A130" s="202">
        <v>214</v>
      </c>
      <c r="B130" s="204" t="s">
        <v>273</v>
      </c>
      <c r="C130" s="225"/>
      <c r="D130" s="207">
        <v>41.128999999999998</v>
      </c>
      <c r="E130" s="207">
        <v>53.900000000000006</v>
      </c>
      <c r="F130" s="229">
        <v>28.199999999999996</v>
      </c>
      <c r="G130" s="229">
        <v>15.05</v>
      </c>
      <c r="H130" s="229">
        <v>2.0760000000000001</v>
      </c>
      <c r="I130" s="229">
        <v>1.2490000000000001</v>
      </c>
      <c r="J130" s="229">
        <v>0.26</v>
      </c>
      <c r="K130" s="235">
        <f t="shared" si="1"/>
        <v>0</v>
      </c>
      <c r="L130" s="229">
        <v>0.39600000000000002</v>
      </c>
      <c r="M130" s="229">
        <v>0.184</v>
      </c>
      <c r="N130" s="229">
        <v>0</v>
      </c>
      <c r="O130" s="229">
        <v>14.824999999999999</v>
      </c>
      <c r="P130" s="229">
        <v>1103.748</v>
      </c>
      <c r="Q130" s="229">
        <v>176.05099999999999</v>
      </c>
      <c r="R130" s="231"/>
      <c r="S130" s="229">
        <v>41.052999999999997</v>
      </c>
      <c r="T130" s="229">
        <v>57.170999999999999</v>
      </c>
      <c r="U130" s="229">
        <v>4.4450000000000003</v>
      </c>
      <c r="V130" s="229">
        <v>0</v>
      </c>
      <c r="W130" s="229">
        <v>38.819000000000003</v>
      </c>
      <c r="X130" s="229">
        <v>52.026000000000003</v>
      </c>
      <c r="Y130" s="231"/>
    </row>
    <row r="131" spans="1:25" s="230" customFormat="1" ht="15.6" x14ac:dyDescent="0.3">
      <c r="A131" s="202">
        <v>215</v>
      </c>
      <c r="B131" s="204" t="s">
        <v>274</v>
      </c>
      <c r="C131" s="225"/>
      <c r="D131" s="207">
        <v>34.625999999999998</v>
      </c>
      <c r="E131" s="207">
        <v>57.499999999999993</v>
      </c>
      <c r="F131" s="229">
        <v>31.8</v>
      </c>
      <c r="G131" s="229">
        <v>16.652000000000001</v>
      </c>
      <c r="H131" s="229">
        <v>2.6459999999999999</v>
      </c>
      <c r="I131" s="229">
        <v>1.032</v>
      </c>
      <c r="J131" s="229">
        <v>0.32500000000000001</v>
      </c>
      <c r="K131" s="235">
        <f t="shared" si="1"/>
        <v>0</v>
      </c>
      <c r="L131" s="229">
        <v>0.254</v>
      </c>
      <c r="M131" s="229">
        <v>0.21</v>
      </c>
      <c r="N131" s="229">
        <v>0</v>
      </c>
      <c r="O131" s="229">
        <v>12.25</v>
      </c>
      <c r="P131" s="229">
        <v>1545.394</v>
      </c>
      <c r="Q131" s="229">
        <v>64.703999999999994</v>
      </c>
      <c r="R131" s="231"/>
      <c r="S131" s="229">
        <v>34.820999999999998</v>
      </c>
      <c r="T131" s="229">
        <v>60.192999999999998</v>
      </c>
      <c r="U131" s="229">
        <v>3.7839999999999998</v>
      </c>
      <c r="V131" s="229">
        <v>0</v>
      </c>
      <c r="W131" s="229">
        <v>35.692999999999998</v>
      </c>
      <c r="X131" s="229">
        <v>50.042999999999999</v>
      </c>
      <c r="Y131" s="231"/>
    </row>
    <row r="132" spans="1:25" s="230" customFormat="1" ht="15.6" x14ac:dyDescent="0.3">
      <c r="A132" s="202">
        <v>216</v>
      </c>
      <c r="B132" s="204" t="s">
        <v>206</v>
      </c>
      <c r="C132" s="225"/>
      <c r="D132" s="207">
        <v>37.792999999999999</v>
      </c>
      <c r="E132" s="207">
        <v>54.6</v>
      </c>
      <c r="F132" s="229">
        <v>28.999999999999996</v>
      </c>
      <c r="G132" s="229">
        <v>8.0679999999999996</v>
      </c>
      <c r="H132" s="229">
        <v>1.5229999999999999</v>
      </c>
      <c r="I132" s="229">
        <v>0.46800000000000003</v>
      </c>
      <c r="J132" s="229">
        <v>0.17100000000000001</v>
      </c>
      <c r="K132" s="235">
        <f t="shared" si="1"/>
        <v>0</v>
      </c>
      <c r="L132" s="229">
        <v>0.129</v>
      </c>
      <c r="M132" s="229">
        <v>0.14000000000000001</v>
      </c>
      <c r="N132" s="229">
        <v>0</v>
      </c>
      <c r="O132" s="229">
        <v>10.754</v>
      </c>
      <c r="P132" s="229">
        <v>825.31899999999996</v>
      </c>
      <c r="Q132" s="229">
        <v>120.581</v>
      </c>
      <c r="R132" s="231"/>
      <c r="S132" s="229">
        <v>48.247999999999998</v>
      </c>
      <c r="T132" s="229">
        <v>59.417999999999999</v>
      </c>
      <c r="U132" s="229">
        <v>1.909</v>
      </c>
      <c r="V132" s="229">
        <v>22.776</v>
      </c>
      <c r="W132" s="229">
        <v>32.74</v>
      </c>
      <c r="X132" s="229">
        <v>56.575000000000003</v>
      </c>
      <c r="Y132" s="231"/>
    </row>
    <row r="133" spans="1:25" s="230" customFormat="1" ht="15.6" x14ac:dyDescent="0.3">
      <c r="A133" s="202">
        <v>217</v>
      </c>
      <c r="B133" s="204" t="s">
        <v>275</v>
      </c>
      <c r="C133" s="225"/>
      <c r="D133" s="207">
        <v>33.331000000000003</v>
      </c>
      <c r="E133" s="207">
        <v>74.099999999999994</v>
      </c>
      <c r="F133" s="229">
        <v>46.6</v>
      </c>
      <c r="G133" s="229">
        <v>8.2409999999999997</v>
      </c>
      <c r="H133" s="229">
        <v>1.0069999999999999</v>
      </c>
      <c r="I133" s="229">
        <v>0.23400000000000001</v>
      </c>
      <c r="J133" s="229">
        <v>0.23599999999999999</v>
      </c>
      <c r="K133" s="235">
        <f t="shared" ref="K133:K196" si="3">C133</f>
        <v>0</v>
      </c>
      <c r="L133" s="229">
        <v>0.17199999999999999</v>
      </c>
      <c r="M133" s="229">
        <v>9.7000000000000003E-2</v>
      </c>
      <c r="N133" s="229">
        <v>0</v>
      </c>
      <c r="O133" s="229">
        <v>9.0239999999999991</v>
      </c>
      <c r="P133" s="229">
        <v>221.328</v>
      </c>
      <c r="Q133" s="229">
        <v>28.344000000000001</v>
      </c>
      <c r="R133" s="231"/>
      <c r="S133" s="229">
        <v>28.558</v>
      </c>
      <c r="T133" s="229">
        <v>71.262</v>
      </c>
      <c r="U133" s="229">
        <v>3.36</v>
      </c>
      <c r="V133" s="229">
        <v>22.105</v>
      </c>
      <c r="W133" s="229">
        <v>25.617000000000001</v>
      </c>
      <c r="X133" s="229">
        <v>44.408999999999999</v>
      </c>
      <c r="Y133" s="231"/>
    </row>
    <row r="134" spans="1:25" s="230" customFormat="1" ht="15.6" x14ac:dyDescent="0.3">
      <c r="A134" s="202">
        <v>218</v>
      </c>
      <c r="B134" s="204" t="s">
        <v>276</v>
      </c>
      <c r="C134" s="225"/>
      <c r="D134" s="207">
        <v>61.988999999999997</v>
      </c>
      <c r="E134" s="207">
        <v>49</v>
      </c>
      <c r="F134" s="229">
        <v>23.799999999999997</v>
      </c>
      <c r="G134" s="229">
        <v>7.1020000000000003</v>
      </c>
      <c r="H134" s="229">
        <v>1.4770000000000001</v>
      </c>
      <c r="I134" s="229">
        <v>0.24399999999999999</v>
      </c>
      <c r="J134" s="229">
        <v>0.214</v>
      </c>
      <c r="K134" s="235">
        <f t="shared" si="3"/>
        <v>0</v>
      </c>
      <c r="L134" s="229">
        <v>0.14499999999999999</v>
      </c>
      <c r="M134" s="229">
        <v>0.11700000000000001</v>
      </c>
      <c r="N134" s="229">
        <v>0</v>
      </c>
      <c r="O134" s="229">
        <v>11.305999999999999</v>
      </c>
      <c r="P134" s="229">
        <v>500.33699999999999</v>
      </c>
      <c r="Q134" s="229">
        <v>570.08799999999997</v>
      </c>
      <c r="R134" s="231"/>
      <c r="S134" s="229">
        <v>34.25</v>
      </c>
      <c r="T134" s="229">
        <v>55.29</v>
      </c>
      <c r="U134" s="229">
        <v>2.464</v>
      </c>
      <c r="V134" s="229">
        <v>28.212</v>
      </c>
      <c r="W134" s="229">
        <v>39.17</v>
      </c>
      <c r="X134" s="229">
        <v>52.968000000000004</v>
      </c>
      <c r="Y134" s="231"/>
    </row>
    <row r="135" spans="1:25" s="230" customFormat="1" ht="15.6" x14ac:dyDescent="0.3">
      <c r="A135" s="202">
        <v>219</v>
      </c>
      <c r="B135" s="204" t="s">
        <v>277</v>
      </c>
      <c r="C135" s="225"/>
      <c r="D135" s="207">
        <v>39.395000000000003</v>
      </c>
      <c r="E135" s="207">
        <v>58.3</v>
      </c>
      <c r="F135" s="229">
        <v>32.4</v>
      </c>
      <c r="G135" s="229">
        <v>14.972</v>
      </c>
      <c r="H135" s="229">
        <v>2.8730000000000002</v>
      </c>
      <c r="I135" s="229">
        <v>0.53300000000000003</v>
      </c>
      <c r="J135" s="229">
        <v>0.35</v>
      </c>
      <c r="K135" s="235">
        <f t="shared" si="3"/>
        <v>0</v>
      </c>
      <c r="L135" s="229">
        <v>0.19800000000000001</v>
      </c>
      <c r="M135" s="229">
        <v>0.21</v>
      </c>
      <c r="N135" s="229">
        <v>0</v>
      </c>
      <c r="O135" s="229">
        <v>11.098000000000001</v>
      </c>
      <c r="P135" s="229">
        <v>582.37800000000004</v>
      </c>
      <c r="Q135" s="229">
        <v>89.93</v>
      </c>
      <c r="R135" s="231"/>
      <c r="S135" s="229">
        <v>36.143999999999998</v>
      </c>
      <c r="T135" s="229">
        <v>61.284999999999997</v>
      </c>
      <c r="U135" s="229">
        <v>4.0129999999999999</v>
      </c>
      <c r="V135" s="229">
        <v>33.548000000000002</v>
      </c>
      <c r="W135" s="229">
        <v>37.228000000000002</v>
      </c>
      <c r="X135" s="229">
        <v>57.628</v>
      </c>
      <c r="Y135" s="231"/>
    </row>
    <row r="136" spans="1:25" s="230" customFormat="1" ht="15.6" x14ac:dyDescent="0.3">
      <c r="A136" s="202">
        <v>220</v>
      </c>
      <c r="B136" s="204" t="s">
        <v>278</v>
      </c>
      <c r="C136" s="225"/>
      <c r="D136" s="207">
        <v>37.65</v>
      </c>
      <c r="E136" s="207">
        <v>57.199999999999996</v>
      </c>
      <c r="F136" s="229">
        <v>31.4</v>
      </c>
      <c r="G136" s="229">
        <v>13.331</v>
      </c>
      <c r="H136" s="229">
        <v>2.5049999999999999</v>
      </c>
      <c r="I136" s="229">
        <v>0.54100000000000004</v>
      </c>
      <c r="J136" s="229">
        <v>0.32</v>
      </c>
      <c r="K136" s="235">
        <f t="shared" si="3"/>
        <v>0</v>
      </c>
      <c r="L136" s="229">
        <v>0.19500000000000001</v>
      </c>
      <c r="M136" s="229">
        <v>0.186</v>
      </c>
      <c r="N136" s="229">
        <v>0.26700000000000002</v>
      </c>
      <c r="O136" s="229">
        <v>9.4550000000000001</v>
      </c>
      <c r="P136" s="229">
        <v>562.94000000000005</v>
      </c>
      <c r="Q136" s="229">
        <v>77.617000000000004</v>
      </c>
      <c r="R136" s="231"/>
      <c r="S136" s="229">
        <v>33.021000000000001</v>
      </c>
      <c r="T136" s="229">
        <v>60.578000000000003</v>
      </c>
      <c r="U136" s="229">
        <v>3.64</v>
      </c>
      <c r="V136" s="229">
        <v>31.077999999999999</v>
      </c>
      <c r="W136" s="229">
        <v>37.340000000000003</v>
      </c>
      <c r="X136" s="229">
        <v>56.814999999999998</v>
      </c>
      <c r="Y136" s="231"/>
    </row>
    <row r="137" spans="1:25" s="230" customFormat="1" ht="15.6" x14ac:dyDescent="0.3">
      <c r="A137" s="202">
        <v>221</v>
      </c>
      <c r="B137" s="204" t="s">
        <v>30</v>
      </c>
      <c r="C137" s="225"/>
      <c r="D137" s="207">
        <v>36.133000000000003</v>
      </c>
      <c r="E137" s="207">
        <v>53.2</v>
      </c>
      <c r="F137" s="229">
        <v>27.700000000000003</v>
      </c>
      <c r="G137" s="229">
        <v>9.5779999999999994</v>
      </c>
      <c r="H137" s="229">
        <v>1.907</v>
      </c>
      <c r="I137" s="229">
        <v>0.47699999999999998</v>
      </c>
      <c r="J137" s="229">
        <v>0.24199999999999999</v>
      </c>
      <c r="K137" s="235">
        <f t="shared" si="3"/>
        <v>0</v>
      </c>
      <c r="L137" s="229">
        <v>0.25900000000000001</v>
      </c>
      <c r="M137" s="229">
        <v>0.14199999999999999</v>
      </c>
      <c r="N137" s="229">
        <v>1.6850000000000001</v>
      </c>
      <c r="O137" s="229">
        <v>9.7140000000000004</v>
      </c>
      <c r="P137" s="229">
        <v>404.08300000000003</v>
      </c>
      <c r="Q137" s="229">
        <v>54.734999999999999</v>
      </c>
      <c r="R137" s="207">
        <v>0.22</v>
      </c>
      <c r="S137" s="229">
        <v>39.787999999999997</v>
      </c>
      <c r="T137" s="229">
        <v>58.262</v>
      </c>
      <c r="U137" s="229">
        <v>2.9910000000000001</v>
      </c>
      <c r="V137" s="229">
        <v>29.818000000000001</v>
      </c>
      <c r="W137" s="229">
        <v>37.308999999999997</v>
      </c>
      <c r="X137" s="229">
        <v>57.841000000000001</v>
      </c>
      <c r="Y137" s="207">
        <v>70</v>
      </c>
    </row>
    <row r="138" spans="1:25" s="230" customFormat="1" ht="15.6" x14ac:dyDescent="0.3">
      <c r="A138" s="202">
        <v>222</v>
      </c>
      <c r="B138" s="203" t="s">
        <v>30</v>
      </c>
      <c r="C138" s="226"/>
      <c r="D138" s="207">
        <v>26</v>
      </c>
      <c r="E138" s="207">
        <v>61.6</v>
      </c>
      <c r="F138" s="207">
        <v>35.4</v>
      </c>
      <c r="G138" s="207">
        <v>6.8</v>
      </c>
      <c r="H138" s="207">
        <v>1.37</v>
      </c>
      <c r="I138" s="207">
        <v>0.35</v>
      </c>
      <c r="J138" s="207">
        <v>0.21</v>
      </c>
      <c r="K138" s="235">
        <f t="shared" si="3"/>
        <v>0</v>
      </c>
      <c r="L138" s="207">
        <v>0.28999999999999998</v>
      </c>
      <c r="M138" s="207">
        <v>0.11</v>
      </c>
      <c r="N138" s="207">
        <v>0.3</v>
      </c>
      <c r="O138" s="207">
        <v>35</v>
      </c>
      <c r="P138" s="207">
        <v>285</v>
      </c>
      <c r="Q138" s="207">
        <v>73</v>
      </c>
      <c r="R138" s="207">
        <v>0.22</v>
      </c>
      <c r="S138" s="207">
        <v>32</v>
      </c>
      <c r="T138" s="207">
        <v>61.3</v>
      </c>
      <c r="U138" s="207">
        <v>3</v>
      </c>
      <c r="V138" s="207">
        <v>27.9</v>
      </c>
      <c r="W138" s="207">
        <v>38</v>
      </c>
      <c r="X138" s="207">
        <v>59</v>
      </c>
      <c r="Y138" s="207">
        <v>70</v>
      </c>
    </row>
    <row r="139" spans="1:25" s="230" customFormat="1" ht="15.6" x14ac:dyDescent="0.3">
      <c r="A139" s="202">
        <v>223</v>
      </c>
      <c r="B139" s="204" t="s">
        <v>279</v>
      </c>
      <c r="C139" s="225"/>
      <c r="D139" s="207">
        <v>30.545999999999999</v>
      </c>
      <c r="E139" s="207">
        <v>51.9</v>
      </c>
      <c r="F139" s="229">
        <v>26.5</v>
      </c>
      <c r="G139" s="229">
        <v>11.786</v>
      </c>
      <c r="H139" s="229">
        <v>2.4689999999999999</v>
      </c>
      <c r="I139" s="229">
        <v>0.56699999999999995</v>
      </c>
      <c r="J139" s="229">
        <v>0.28299999999999997</v>
      </c>
      <c r="K139" s="235">
        <f t="shared" si="3"/>
        <v>0</v>
      </c>
      <c r="L139" s="229">
        <v>0.28000000000000003</v>
      </c>
      <c r="M139" s="229">
        <v>0.16600000000000001</v>
      </c>
      <c r="N139" s="229">
        <v>0</v>
      </c>
      <c r="O139" s="229">
        <v>11.756</v>
      </c>
      <c r="P139" s="229">
        <v>605.43100000000004</v>
      </c>
      <c r="Q139" s="229">
        <v>66.525999999999996</v>
      </c>
      <c r="R139" s="231"/>
      <c r="S139" s="229">
        <v>33.642000000000003</v>
      </c>
      <c r="T139" s="229">
        <v>57.509</v>
      </c>
      <c r="U139" s="229">
        <v>3.302</v>
      </c>
      <c r="V139" s="229">
        <v>32.353000000000002</v>
      </c>
      <c r="W139" s="229">
        <v>39.253</v>
      </c>
      <c r="X139" s="229">
        <v>60.753999999999998</v>
      </c>
      <c r="Y139" s="231"/>
    </row>
    <row r="140" spans="1:25" s="230" customFormat="1" ht="15.6" x14ac:dyDescent="0.3">
      <c r="A140" s="202">
        <v>224</v>
      </c>
      <c r="B140" s="204" t="s">
        <v>280</v>
      </c>
      <c r="C140" s="225"/>
      <c r="D140" s="207">
        <v>56.128999999999998</v>
      </c>
      <c r="E140" s="207">
        <v>53.2</v>
      </c>
      <c r="F140" s="229">
        <v>27.700000000000003</v>
      </c>
      <c r="G140" s="229">
        <v>16.303000000000001</v>
      </c>
      <c r="H140" s="229">
        <v>1.88</v>
      </c>
      <c r="I140" s="229">
        <v>1.357</v>
      </c>
      <c r="J140" s="229">
        <v>0.30099999999999999</v>
      </c>
      <c r="K140" s="235">
        <f t="shared" si="3"/>
        <v>0</v>
      </c>
      <c r="L140" s="229">
        <v>0.36</v>
      </c>
      <c r="M140" s="229">
        <v>0.20200000000000001</v>
      </c>
      <c r="N140" s="229">
        <v>0</v>
      </c>
      <c r="O140" s="229">
        <v>12.4</v>
      </c>
      <c r="P140" s="229">
        <v>940.56200000000001</v>
      </c>
      <c r="Q140" s="229">
        <v>81.427999999999997</v>
      </c>
      <c r="R140" s="231"/>
      <c r="S140" s="229">
        <v>65.356999999999999</v>
      </c>
      <c r="T140" s="229">
        <v>57.246000000000002</v>
      </c>
      <c r="U140" s="229">
        <v>4.3220000000000001</v>
      </c>
      <c r="V140" s="229">
        <v>32.896000000000001</v>
      </c>
      <c r="W140" s="229">
        <v>37.649000000000001</v>
      </c>
      <c r="X140" s="229">
        <v>48.418999999999997</v>
      </c>
      <c r="Y140" s="231"/>
    </row>
    <row r="141" spans="1:25" s="230" customFormat="1" ht="15.6" x14ac:dyDescent="0.3">
      <c r="A141" s="202">
        <v>225</v>
      </c>
      <c r="B141" s="204" t="s">
        <v>281</v>
      </c>
      <c r="C141" s="225"/>
      <c r="D141" s="207">
        <v>59.874000000000002</v>
      </c>
      <c r="E141" s="207">
        <v>41.099999999999994</v>
      </c>
      <c r="F141" s="229">
        <v>16.5</v>
      </c>
      <c r="G141" s="229">
        <v>7.8440000000000003</v>
      </c>
      <c r="H141" s="229">
        <v>1.4670000000000001</v>
      </c>
      <c r="I141" s="229">
        <v>0.53800000000000003</v>
      </c>
      <c r="J141" s="229">
        <v>0.19700000000000001</v>
      </c>
      <c r="K141" s="235">
        <f t="shared" si="3"/>
        <v>0</v>
      </c>
      <c r="L141" s="229">
        <v>0.187</v>
      </c>
      <c r="M141" s="229">
        <v>0.14299999999999999</v>
      </c>
      <c r="N141" s="229">
        <v>0.16200000000000001</v>
      </c>
      <c r="O141" s="229">
        <v>6.5629999999999997</v>
      </c>
      <c r="P141" s="229">
        <v>457.23899999999998</v>
      </c>
      <c r="Q141" s="229">
        <v>220.48599999999999</v>
      </c>
      <c r="R141" s="231"/>
      <c r="S141" s="229">
        <v>27.617000000000001</v>
      </c>
      <c r="T141" s="229">
        <v>51.378999999999998</v>
      </c>
      <c r="U141" s="229">
        <v>2.2599999999999998</v>
      </c>
      <c r="V141" s="229">
        <v>34.177</v>
      </c>
      <c r="W141" s="229">
        <v>45.585000000000001</v>
      </c>
      <c r="X141" s="229">
        <v>66.590999999999994</v>
      </c>
      <c r="Y141" s="231"/>
    </row>
    <row r="142" spans="1:25" s="230" customFormat="1" ht="15.6" x14ac:dyDescent="0.3">
      <c r="A142" s="202">
        <v>226</v>
      </c>
      <c r="B142" s="204" t="s">
        <v>282</v>
      </c>
      <c r="C142" s="225"/>
      <c r="D142" s="207">
        <v>32.411000000000001</v>
      </c>
      <c r="E142" s="207">
        <v>48</v>
      </c>
      <c r="F142" s="229">
        <v>22.900000000000002</v>
      </c>
      <c r="G142" s="229">
        <v>12.278</v>
      </c>
      <c r="H142" s="229">
        <v>2.742</v>
      </c>
      <c r="I142" s="229">
        <v>0.54900000000000004</v>
      </c>
      <c r="J142" s="229">
        <v>0.30299999999999999</v>
      </c>
      <c r="K142" s="235">
        <f t="shared" si="3"/>
        <v>0</v>
      </c>
      <c r="L142" s="229">
        <v>0.28399999999999997</v>
      </c>
      <c r="M142" s="229">
        <v>0.18</v>
      </c>
      <c r="N142" s="229">
        <v>0</v>
      </c>
      <c r="O142" s="229">
        <v>13.29</v>
      </c>
      <c r="P142" s="229">
        <v>842.10400000000004</v>
      </c>
      <c r="Q142" s="229">
        <v>67.846999999999994</v>
      </c>
      <c r="R142" s="231"/>
      <c r="S142" s="229">
        <v>37.531999999999996</v>
      </c>
      <c r="T142" s="229">
        <v>55.073999999999998</v>
      </c>
      <c r="U142" s="229">
        <v>3.1819999999999999</v>
      </c>
      <c r="V142" s="229">
        <v>34.860999999999997</v>
      </c>
      <c r="W142" s="229">
        <v>41.024000000000001</v>
      </c>
      <c r="X142" s="229">
        <v>62.304000000000002</v>
      </c>
      <c r="Y142" s="231"/>
    </row>
    <row r="143" spans="1:25" s="230" customFormat="1" ht="15.6" x14ac:dyDescent="0.3">
      <c r="A143" s="202">
        <v>227</v>
      </c>
      <c r="B143" s="204" t="s">
        <v>283</v>
      </c>
      <c r="C143" s="225"/>
      <c r="D143" s="207">
        <v>68.031000000000006</v>
      </c>
      <c r="E143" s="207">
        <v>25.4</v>
      </c>
      <c r="F143" s="229">
        <v>7.3</v>
      </c>
      <c r="G143" s="229">
        <v>3.851</v>
      </c>
      <c r="H143" s="229">
        <v>0.52700000000000002</v>
      </c>
      <c r="I143" s="229">
        <v>0.35399999999999998</v>
      </c>
      <c r="J143" s="229">
        <v>6.2E-2</v>
      </c>
      <c r="K143" s="235">
        <f t="shared" si="3"/>
        <v>0</v>
      </c>
      <c r="L143" s="229">
        <v>9.9000000000000005E-2</v>
      </c>
      <c r="M143" s="229">
        <v>0.10100000000000001</v>
      </c>
      <c r="N143" s="229">
        <v>1.379</v>
      </c>
      <c r="O143" s="229">
        <v>7.5270000000000001</v>
      </c>
      <c r="P143" s="229">
        <v>1332.7</v>
      </c>
      <c r="Q143" s="229">
        <v>73.837999999999994</v>
      </c>
      <c r="R143" s="231"/>
      <c r="S143" s="229">
        <v>17.908999999999999</v>
      </c>
      <c r="T143" s="229">
        <v>42.368000000000002</v>
      </c>
      <c r="U143" s="229">
        <v>1.1659999999999999</v>
      </c>
      <c r="V143" s="229">
        <v>39.238999999999997</v>
      </c>
      <c r="W143" s="229">
        <v>62.213000000000001</v>
      </c>
      <c r="X143" s="229">
        <v>75.162999999999997</v>
      </c>
      <c r="Y143" s="231"/>
    </row>
    <row r="144" spans="1:25" s="230" customFormat="1" ht="15.6" x14ac:dyDescent="0.3">
      <c r="A144" s="202">
        <v>228</v>
      </c>
      <c r="B144" s="204" t="s">
        <v>284</v>
      </c>
      <c r="C144" s="225"/>
      <c r="D144" s="207">
        <v>54.343000000000004</v>
      </c>
      <c r="E144" s="207">
        <v>42.1</v>
      </c>
      <c r="F144" s="229">
        <v>18.3</v>
      </c>
      <c r="G144" s="229">
        <v>6.0090000000000003</v>
      </c>
      <c r="H144" s="229">
        <v>1.4019999999999999</v>
      </c>
      <c r="I144" s="229">
        <v>0.36099999999999999</v>
      </c>
      <c r="J144" s="229">
        <v>0.11799999999999999</v>
      </c>
      <c r="K144" s="235">
        <f t="shared" si="3"/>
        <v>0</v>
      </c>
      <c r="L144" s="229">
        <v>0.161</v>
      </c>
      <c r="M144" s="229">
        <v>0.30399999999999999</v>
      </c>
      <c r="N144" s="229">
        <v>0</v>
      </c>
      <c r="O144" s="229">
        <v>7.5259999999999998</v>
      </c>
      <c r="P144" s="229">
        <v>728.13</v>
      </c>
      <c r="Q144" s="229">
        <v>77.343000000000004</v>
      </c>
      <c r="R144" s="231"/>
      <c r="S144" s="229">
        <v>121.282</v>
      </c>
      <c r="T144" s="229">
        <v>52.331000000000003</v>
      </c>
      <c r="U144" s="229">
        <v>1.8049999999999999</v>
      </c>
      <c r="V144" s="229">
        <v>21.166</v>
      </c>
      <c r="W144" s="229">
        <v>45.417000000000002</v>
      </c>
      <c r="X144" s="229">
        <v>64.168000000000006</v>
      </c>
      <c r="Y144" s="231"/>
    </row>
    <row r="145" spans="1:25" s="230" customFormat="1" ht="15.6" x14ac:dyDescent="0.3">
      <c r="A145" s="202">
        <v>229</v>
      </c>
      <c r="B145" s="204" t="s">
        <v>285</v>
      </c>
      <c r="C145" s="225"/>
      <c r="D145" s="207">
        <v>26.817</v>
      </c>
      <c r="E145" s="207">
        <v>77.900000000000006</v>
      </c>
      <c r="F145" s="229">
        <v>49.8</v>
      </c>
      <c r="G145" s="229">
        <v>11.026999999999999</v>
      </c>
      <c r="H145" s="229">
        <v>2.6779999999999999</v>
      </c>
      <c r="I145" s="229">
        <v>1.419</v>
      </c>
      <c r="J145" s="229">
        <v>0.32800000000000001</v>
      </c>
      <c r="K145" s="235">
        <f t="shared" si="3"/>
        <v>0</v>
      </c>
      <c r="L145" s="229">
        <v>0.376</v>
      </c>
      <c r="M145" s="229">
        <v>0.24199999999999999</v>
      </c>
      <c r="N145" s="229">
        <v>0</v>
      </c>
      <c r="O145" s="229">
        <v>14.978</v>
      </c>
      <c r="P145" s="229">
        <v>150.47300000000001</v>
      </c>
      <c r="Q145" s="229">
        <v>32.994</v>
      </c>
      <c r="R145" s="231"/>
      <c r="S145" s="229">
        <v>35.250999999999998</v>
      </c>
      <c r="T145" s="229">
        <v>69.763999999999996</v>
      </c>
      <c r="U145" s="229">
        <v>14.426</v>
      </c>
      <c r="V145" s="229">
        <v>0</v>
      </c>
      <c r="W145" s="229">
        <v>38.731999999999999</v>
      </c>
      <c r="X145" s="229">
        <v>48.145000000000003</v>
      </c>
      <c r="Y145" s="231"/>
    </row>
    <row r="146" spans="1:25" s="230" customFormat="1" ht="15.6" x14ac:dyDescent="0.3">
      <c r="A146" s="202">
        <v>230</v>
      </c>
      <c r="B146" s="204" t="s">
        <v>286</v>
      </c>
      <c r="C146" s="225"/>
      <c r="D146" s="207">
        <v>23.018999999999998</v>
      </c>
      <c r="E146" s="207">
        <v>66.100000000000009</v>
      </c>
      <c r="F146" s="229">
        <v>39.4</v>
      </c>
      <c r="G146" s="229">
        <v>10.079000000000001</v>
      </c>
      <c r="H146" s="229">
        <v>1.0389999999999999</v>
      </c>
      <c r="I146" s="229">
        <v>0.21199999999999999</v>
      </c>
      <c r="J146" s="229">
        <v>0.26900000000000002</v>
      </c>
      <c r="K146" s="235">
        <f t="shared" si="3"/>
        <v>0</v>
      </c>
      <c r="L146" s="229">
        <v>0.17</v>
      </c>
      <c r="M146" s="229">
        <v>0.123</v>
      </c>
      <c r="N146" s="229">
        <v>4.5789999999999997</v>
      </c>
      <c r="O146" s="229">
        <v>10.538</v>
      </c>
      <c r="P146" s="229">
        <v>529.68899999999996</v>
      </c>
      <c r="Q146" s="229">
        <v>26.812999999999999</v>
      </c>
      <c r="R146" s="231"/>
      <c r="S146" s="229">
        <v>39.17</v>
      </c>
      <c r="T146" s="229">
        <v>66.861000000000004</v>
      </c>
      <c r="U146" s="229">
        <v>5.2789999999999999</v>
      </c>
      <c r="V146" s="229">
        <v>0</v>
      </c>
      <c r="W146" s="229">
        <v>35.877000000000002</v>
      </c>
      <c r="X146" s="229">
        <v>63.649000000000001</v>
      </c>
      <c r="Y146" s="231"/>
    </row>
    <row r="147" spans="1:25" s="230" customFormat="1" ht="15.6" x14ac:dyDescent="0.3">
      <c r="A147" s="202">
        <v>231</v>
      </c>
      <c r="B147" s="203" t="s">
        <v>139</v>
      </c>
      <c r="C147" s="226"/>
      <c r="D147" s="207">
        <v>32</v>
      </c>
      <c r="E147" s="207">
        <v>71.599999999999994</v>
      </c>
      <c r="F147" s="207">
        <v>34.6</v>
      </c>
      <c r="G147" s="207">
        <v>11.4</v>
      </c>
      <c r="H147" s="207">
        <v>1.5</v>
      </c>
      <c r="I147" s="207">
        <v>0.51</v>
      </c>
      <c r="J147" s="207">
        <v>0.24</v>
      </c>
      <c r="K147" s="235">
        <f t="shared" si="3"/>
        <v>0</v>
      </c>
      <c r="L147" s="207">
        <v>0.22</v>
      </c>
      <c r="M147" s="207">
        <v>0.21</v>
      </c>
      <c r="N147" s="207">
        <v>0.12</v>
      </c>
      <c r="O147" s="207">
        <v>6</v>
      </c>
      <c r="P147" s="207">
        <v>125</v>
      </c>
      <c r="Q147" s="207">
        <v>145</v>
      </c>
      <c r="R147" s="207">
        <v>0.05</v>
      </c>
      <c r="S147" s="207">
        <v>17</v>
      </c>
      <c r="T147" s="207">
        <v>68.2</v>
      </c>
      <c r="U147" s="207">
        <v>3.3</v>
      </c>
      <c r="V147" s="207">
        <v>30</v>
      </c>
      <c r="W147" s="207">
        <v>36.6</v>
      </c>
      <c r="X147" s="207"/>
      <c r="Y147" s="207"/>
    </row>
    <row r="148" spans="1:25" s="230" customFormat="1" ht="15.6" x14ac:dyDescent="0.3">
      <c r="A148" s="202">
        <v>232</v>
      </c>
      <c r="B148" s="204" t="s">
        <v>287</v>
      </c>
      <c r="C148" s="225"/>
      <c r="D148" s="207">
        <v>33.890999999999998</v>
      </c>
      <c r="E148" s="207">
        <v>55.500000000000007</v>
      </c>
      <c r="F148" s="229">
        <v>29.799999999999997</v>
      </c>
      <c r="G148" s="229">
        <v>14.244999999999999</v>
      </c>
      <c r="H148" s="229">
        <v>2.9809999999999999</v>
      </c>
      <c r="I148" s="229">
        <v>0.495</v>
      </c>
      <c r="J148" s="229">
        <v>0.34300000000000003</v>
      </c>
      <c r="K148" s="235">
        <f t="shared" si="3"/>
        <v>0</v>
      </c>
      <c r="L148" s="229">
        <v>0.18</v>
      </c>
      <c r="M148" s="229">
        <v>0.2</v>
      </c>
      <c r="N148" s="229">
        <v>2.641</v>
      </c>
      <c r="O148" s="229">
        <v>11.416</v>
      </c>
      <c r="P148" s="229">
        <v>606.74199999999996</v>
      </c>
      <c r="Q148" s="229">
        <v>49.872999999999998</v>
      </c>
      <c r="R148" s="231"/>
      <c r="S148" s="229">
        <v>35.71</v>
      </c>
      <c r="T148" s="229">
        <v>59.720999999999997</v>
      </c>
      <c r="U148" s="229">
        <v>3.7040000000000002</v>
      </c>
      <c r="V148" s="229">
        <v>28.681999999999999</v>
      </c>
      <c r="W148" s="229">
        <v>38.000999999999998</v>
      </c>
      <c r="X148" s="229">
        <v>58.228999999999999</v>
      </c>
      <c r="Y148" s="231"/>
    </row>
    <row r="149" spans="1:25" s="230" customFormat="1" ht="15.6" x14ac:dyDescent="0.3">
      <c r="A149" s="202">
        <v>233</v>
      </c>
      <c r="B149" s="204" t="s">
        <v>288</v>
      </c>
      <c r="C149" s="225"/>
      <c r="D149" s="207">
        <v>34.337000000000003</v>
      </c>
      <c r="E149" s="207">
        <v>56.699999999999996</v>
      </c>
      <c r="F149" s="229">
        <v>31</v>
      </c>
      <c r="G149" s="229">
        <v>16.474</v>
      </c>
      <c r="H149" s="229">
        <v>2.8639999999999999</v>
      </c>
      <c r="I149" s="229">
        <v>0.77500000000000002</v>
      </c>
      <c r="J149" s="229">
        <v>0.35499999999999998</v>
      </c>
      <c r="K149" s="235">
        <f t="shared" si="3"/>
        <v>0</v>
      </c>
      <c r="L149" s="229">
        <v>0.224</v>
      </c>
      <c r="M149" s="229">
        <v>0.20499999999999999</v>
      </c>
      <c r="N149" s="229">
        <v>0</v>
      </c>
      <c r="O149" s="229">
        <v>9.4860000000000007</v>
      </c>
      <c r="P149" s="229">
        <v>647.79</v>
      </c>
      <c r="Q149" s="229">
        <v>45.755000000000003</v>
      </c>
      <c r="R149" s="231"/>
      <c r="S149" s="229">
        <v>28.571000000000002</v>
      </c>
      <c r="T149" s="229">
        <v>60.069000000000003</v>
      </c>
      <c r="U149" s="229">
        <v>3.7759999999999998</v>
      </c>
      <c r="V149" s="229">
        <v>0</v>
      </c>
      <c r="W149" s="229">
        <v>37.229999999999997</v>
      </c>
      <c r="X149" s="229">
        <v>54.386000000000003</v>
      </c>
      <c r="Y149" s="231"/>
    </row>
    <row r="150" spans="1:25" s="230" customFormat="1" ht="15.6" x14ac:dyDescent="0.3">
      <c r="A150" s="202">
        <v>234</v>
      </c>
      <c r="B150" s="204" t="s">
        <v>289</v>
      </c>
      <c r="C150" s="225"/>
      <c r="D150" s="207">
        <v>34.356000000000002</v>
      </c>
      <c r="E150" s="207">
        <v>56.000000000000007</v>
      </c>
      <c r="F150" s="229">
        <v>30.3</v>
      </c>
      <c r="G150" s="229">
        <v>12.707000000000001</v>
      </c>
      <c r="H150" s="229">
        <v>2.395</v>
      </c>
      <c r="I150" s="229">
        <v>0.41</v>
      </c>
      <c r="J150" s="229">
        <v>0.33900000000000002</v>
      </c>
      <c r="K150" s="235">
        <f t="shared" si="3"/>
        <v>0</v>
      </c>
      <c r="L150" s="229">
        <v>0.16</v>
      </c>
      <c r="M150" s="229">
        <v>0.17899999999999999</v>
      </c>
      <c r="N150" s="229">
        <v>0.44700000000000001</v>
      </c>
      <c r="O150" s="229">
        <v>10.231</v>
      </c>
      <c r="P150" s="229">
        <v>555.34299999999996</v>
      </c>
      <c r="Q150" s="229">
        <v>56.302999999999997</v>
      </c>
      <c r="R150" s="231"/>
      <c r="S150" s="229">
        <v>28.872</v>
      </c>
      <c r="T150" s="229">
        <v>59.78</v>
      </c>
      <c r="U150" s="229">
        <v>3.53</v>
      </c>
      <c r="V150" s="229">
        <v>28.233000000000001</v>
      </c>
      <c r="W150" s="229">
        <v>36.997999999999998</v>
      </c>
      <c r="X150" s="229">
        <v>56.798999999999999</v>
      </c>
      <c r="Y150" s="231"/>
    </row>
    <row r="151" spans="1:25" s="230" customFormat="1" ht="15.6" x14ac:dyDescent="0.3">
      <c r="A151" s="202">
        <v>235</v>
      </c>
      <c r="B151" s="231"/>
      <c r="C151" s="225"/>
      <c r="D151" s="231"/>
      <c r="E151" s="231"/>
      <c r="F151" s="229"/>
      <c r="G151" s="229"/>
      <c r="H151" s="229"/>
      <c r="I151" s="229"/>
      <c r="J151" s="229"/>
      <c r="K151" s="235">
        <f t="shared" si="3"/>
        <v>0</v>
      </c>
      <c r="L151" s="229"/>
      <c r="M151" s="229"/>
      <c r="N151" s="229"/>
      <c r="O151" s="229"/>
      <c r="P151" s="229"/>
      <c r="Q151" s="229"/>
      <c r="R151" s="231"/>
      <c r="S151" s="229"/>
      <c r="T151" s="229"/>
      <c r="U151" s="229"/>
      <c r="V151" s="229"/>
      <c r="W151" s="229"/>
      <c r="X151" s="229"/>
      <c r="Y151" s="231"/>
    </row>
    <row r="152" spans="1:25" s="230" customFormat="1" ht="15.6" x14ac:dyDescent="0.3">
      <c r="A152" s="202">
        <v>236</v>
      </c>
      <c r="B152" s="231"/>
      <c r="C152" s="225"/>
      <c r="D152" s="231"/>
      <c r="E152" s="231"/>
      <c r="F152" s="229"/>
      <c r="G152" s="229"/>
      <c r="H152" s="229"/>
      <c r="I152" s="229"/>
      <c r="J152" s="229"/>
      <c r="K152" s="235">
        <f t="shared" si="3"/>
        <v>0</v>
      </c>
      <c r="L152" s="229"/>
      <c r="M152" s="229"/>
      <c r="N152" s="229"/>
      <c r="O152" s="229"/>
      <c r="P152" s="229"/>
      <c r="Q152" s="229"/>
      <c r="R152" s="231"/>
      <c r="S152" s="229"/>
      <c r="T152" s="229"/>
      <c r="U152" s="229"/>
      <c r="V152" s="229"/>
      <c r="W152" s="229"/>
      <c r="X152" s="229"/>
      <c r="Y152" s="231"/>
    </row>
    <row r="153" spans="1:25" s="230" customFormat="1" ht="15.6" x14ac:dyDescent="0.3">
      <c r="A153" s="202">
        <v>237</v>
      </c>
      <c r="B153" s="231"/>
      <c r="C153" s="225"/>
      <c r="D153" s="231"/>
      <c r="E153" s="231"/>
      <c r="F153" s="229"/>
      <c r="G153" s="229"/>
      <c r="H153" s="229"/>
      <c r="I153" s="229"/>
      <c r="J153" s="229"/>
      <c r="K153" s="235">
        <f t="shared" si="3"/>
        <v>0</v>
      </c>
      <c r="L153" s="229"/>
      <c r="M153" s="229"/>
      <c r="N153" s="229"/>
      <c r="O153" s="229"/>
      <c r="P153" s="229"/>
      <c r="Q153" s="229"/>
      <c r="R153" s="231"/>
      <c r="S153" s="229"/>
      <c r="T153" s="229"/>
      <c r="U153" s="229"/>
      <c r="V153" s="229"/>
      <c r="W153" s="229"/>
      <c r="X153" s="229"/>
      <c r="Y153" s="231"/>
    </row>
    <row r="154" spans="1:25" s="230" customFormat="1" ht="15.6" x14ac:dyDescent="0.3">
      <c r="A154" s="202">
        <v>238</v>
      </c>
      <c r="B154" s="231"/>
      <c r="C154" s="225"/>
      <c r="D154" s="231"/>
      <c r="E154" s="231"/>
      <c r="F154" s="229"/>
      <c r="G154" s="229"/>
      <c r="H154" s="229"/>
      <c r="I154" s="229"/>
      <c r="J154" s="229"/>
      <c r="K154" s="235">
        <f t="shared" si="3"/>
        <v>0</v>
      </c>
      <c r="L154" s="229"/>
      <c r="M154" s="229"/>
      <c r="N154" s="229"/>
      <c r="O154" s="229"/>
      <c r="P154" s="229"/>
      <c r="Q154" s="229"/>
      <c r="R154" s="231"/>
      <c r="S154" s="229"/>
      <c r="T154" s="229"/>
      <c r="U154" s="229"/>
      <c r="V154" s="229"/>
      <c r="W154" s="229"/>
      <c r="X154" s="229"/>
      <c r="Y154" s="231"/>
    </row>
    <row r="155" spans="1:25" s="230" customFormat="1" ht="15.6" x14ac:dyDescent="0.3">
      <c r="A155" s="202">
        <v>239</v>
      </c>
      <c r="B155" s="231"/>
      <c r="C155" s="225"/>
      <c r="D155" s="231"/>
      <c r="E155" s="231"/>
      <c r="F155" s="229"/>
      <c r="G155" s="229"/>
      <c r="H155" s="229"/>
      <c r="I155" s="229"/>
      <c r="J155" s="229"/>
      <c r="K155" s="235">
        <f t="shared" si="3"/>
        <v>0</v>
      </c>
      <c r="L155" s="229"/>
      <c r="M155" s="229"/>
      <c r="N155" s="229"/>
      <c r="O155" s="229"/>
      <c r="P155" s="229"/>
      <c r="Q155" s="229"/>
      <c r="R155" s="231"/>
      <c r="S155" s="229"/>
      <c r="T155" s="229"/>
      <c r="U155" s="229"/>
      <c r="V155" s="229"/>
      <c r="W155" s="229"/>
      <c r="X155" s="229"/>
      <c r="Y155" s="231"/>
    </row>
    <row r="156" spans="1:25" s="230" customFormat="1" ht="15.6" x14ac:dyDescent="0.3">
      <c r="A156" s="202">
        <v>240</v>
      </c>
      <c r="B156" s="231"/>
      <c r="C156" s="225"/>
      <c r="D156" s="231"/>
      <c r="E156" s="231"/>
      <c r="F156" s="229"/>
      <c r="G156" s="229"/>
      <c r="H156" s="229"/>
      <c r="I156" s="229"/>
      <c r="J156" s="229"/>
      <c r="K156" s="235">
        <f t="shared" si="3"/>
        <v>0</v>
      </c>
      <c r="L156" s="229"/>
      <c r="M156" s="229"/>
      <c r="N156" s="229"/>
      <c r="O156" s="229"/>
      <c r="P156" s="229"/>
      <c r="Q156" s="229"/>
      <c r="R156" s="231"/>
      <c r="S156" s="229"/>
      <c r="T156" s="229"/>
      <c r="U156" s="229"/>
      <c r="V156" s="229"/>
      <c r="W156" s="229"/>
      <c r="X156" s="229"/>
      <c r="Y156" s="231"/>
    </row>
    <row r="157" spans="1:25" s="230" customFormat="1" ht="15.6" x14ac:dyDescent="0.3">
      <c r="A157" s="202">
        <v>241</v>
      </c>
      <c r="B157" s="231"/>
      <c r="C157" s="225"/>
      <c r="D157" s="231"/>
      <c r="E157" s="231"/>
      <c r="F157" s="229"/>
      <c r="G157" s="229"/>
      <c r="H157" s="229"/>
      <c r="I157" s="229"/>
      <c r="J157" s="229"/>
      <c r="K157" s="235">
        <f t="shared" si="3"/>
        <v>0</v>
      </c>
      <c r="L157" s="229"/>
      <c r="M157" s="229"/>
      <c r="N157" s="229"/>
      <c r="O157" s="229"/>
      <c r="P157" s="229"/>
      <c r="Q157" s="229"/>
      <c r="R157" s="231"/>
      <c r="S157" s="229"/>
      <c r="T157" s="229"/>
      <c r="U157" s="229"/>
      <c r="V157" s="229"/>
      <c r="W157" s="229"/>
      <c r="X157" s="229"/>
      <c r="Y157" s="231"/>
    </row>
    <row r="158" spans="1:25" s="230" customFormat="1" ht="15.6" x14ac:dyDescent="0.3">
      <c r="A158" s="202">
        <v>242</v>
      </c>
      <c r="B158" s="231"/>
      <c r="C158" s="225"/>
      <c r="D158" s="231"/>
      <c r="E158" s="231"/>
      <c r="F158" s="229"/>
      <c r="G158" s="229"/>
      <c r="H158" s="229"/>
      <c r="I158" s="229"/>
      <c r="J158" s="229"/>
      <c r="K158" s="235">
        <f t="shared" si="3"/>
        <v>0</v>
      </c>
      <c r="L158" s="229"/>
      <c r="M158" s="229"/>
      <c r="N158" s="229"/>
      <c r="O158" s="229"/>
      <c r="P158" s="229"/>
      <c r="Q158" s="229"/>
      <c r="R158" s="231"/>
      <c r="S158" s="229"/>
      <c r="T158" s="229"/>
      <c r="U158" s="229"/>
      <c r="V158" s="229"/>
      <c r="W158" s="229"/>
      <c r="X158" s="229"/>
      <c r="Y158" s="231"/>
    </row>
    <row r="159" spans="1:25" s="230" customFormat="1" ht="15.6" x14ac:dyDescent="0.3">
      <c r="A159" s="202">
        <v>243</v>
      </c>
      <c r="B159" s="231"/>
      <c r="C159" s="225"/>
      <c r="D159" s="231"/>
      <c r="E159" s="231"/>
      <c r="F159" s="229"/>
      <c r="G159" s="229"/>
      <c r="H159" s="229"/>
      <c r="I159" s="229"/>
      <c r="J159" s="229"/>
      <c r="K159" s="235">
        <f t="shared" si="3"/>
        <v>0</v>
      </c>
      <c r="L159" s="229"/>
      <c r="M159" s="229"/>
      <c r="N159" s="229"/>
      <c r="O159" s="229"/>
      <c r="P159" s="229"/>
      <c r="Q159" s="229"/>
      <c r="R159" s="231"/>
      <c r="S159" s="229"/>
      <c r="T159" s="229"/>
      <c r="U159" s="229"/>
      <c r="V159" s="229"/>
      <c r="W159" s="229"/>
      <c r="X159" s="229"/>
      <c r="Y159" s="231"/>
    </row>
    <row r="160" spans="1:25" s="230" customFormat="1" ht="15.6" x14ac:dyDescent="0.3">
      <c r="A160" s="202">
        <v>244</v>
      </c>
      <c r="B160" s="231"/>
      <c r="C160" s="225"/>
      <c r="D160" s="231"/>
      <c r="E160" s="231"/>
      <c r="F160" s="229"/>
      <c r="G160" s="229"/>
      <c r="H160" s="229"/>
      <c r="I160" s="229"/>
      <c r="J160" s="229"/>
      <c r="K160" s="235">
        <f t="shared" si="3"/>
        <v>0</v>
      </c>
      <c r="L160" s="229"/>
      <c r="M160" s="229"/>
      <c r="N160" s="229"/>
      <c r="O160" s="229"/>
      <c r="P160" s="229"/>
      <c r="Q160" s="229"/>
      <c r="R160" s="231"/>
      <c r="S160" s="229"/>
      <c r="T160" s="229"/>
      <c r="U160" s="229"/>
      <c r="V160" s="229"/>
      <c r="W160" s="229"/>
      <c r="X160" s="229"/>
      <c r="Y160" s="231"/>
    </row>
    <row r="161" spans="1:25" s="230" customFormat="1" ht="15.6" x14ac:dyDescent="0.3">
      <c r="A161" s="199" t="s">
        <v>290</v>
      </c>
      <c r="B161" s="231"/>
      <c r="C161" s="225"/>
      <c r="D161" s="231"/>
      <c r="E161" s="231"/>
      <c r="F161" s="229"/>
      <c r="G161" s="229"/>
      <c r="H161" s="229"/>
      <c r="I161" s="229"/>
      <c r="J161" s="229"/>
      <c r="K161" s="235"/>
      <c r="L161" s="229"/>
      <c r="M161" s="229"/>
      <c r="N161" s="229"/>
      <c r="O161" s="229"/>
      <c r="P161" s="229"/>
      <c r="Q161" s="231"/>
      <c r="R161" s="229"/>
      <c r="S161" s="229"/>
      <c r="T161" s="229"/>
      <c r="U161" s="229"/>
      <c r="V161" s="229"/>
      <c r="W161" s="229"/>
      <c r="X161" s="231"/>
      <c r="Y161" s="231"/>
    </row>
    <row r="162" spans="1:25" s="230" customFormat="1" ht="15.6" x14ac:dyDescent="0.3">
      <c r="A162" s="202">
        <v>301</v>
      </c>
      <c r="B162" s="204" t="s">
        <v>291</v>
      </c>
      <c r="C162" s="225"/>
      <c r="D162" s="207">
        <v>91.765000000000001</v>
      </c>
      <c r="E162" s="207">
        <v>95</v>
      </c>
      <c r="F162" s="229">
        <v>64.3</v>
      </c>
      <c r="G162" s="229">
        <v>72.468000000000004</v>
      </c>
      <c r="H162" s="229">
        <v>0.621</v>
      </c>
      <c r="I162" s="229">
        <v>3.5129999999999999</v>
      </c>
      <c r="J162" s="229">
        <v>1.667</v>
      </c>
      <c r="K162" s="235">
        <f t="shared" si="3"/>
        <v>0</v>
      </c>
      <c r="L162" s="229">
        <v>0.19</v>
      </c>
      <c r="M162" s="229">
        <v>0.63</v>
      </c>
      <c r="N162" s="229">
        <v>1.4159999999999999</v>
      </c>
      <c r="O162" s="229">
        <v>19.795999999999999</v>
      </c>
      <c r="P162" s="229">
        <v>793.93299999999999</v>
      </c>
      <c r="Q162" s="229">
        <v>70.346000000000004</v>
      </c>
      <c r="R162" s="231"/>
      <c r="S162" s="229">
        <v>145.666</v>
      </c>
      <c r="T162" s="229">
        <v>79.417000000000002</v>
      </c>
      <c r="U162" s="229">
        <v>12.252000000000001</v>
      </c>
      <c r="V162" s="229">
        <v>1.52</v>
      </c>
      <c r="W162" s="229">
        <v>6.2750000000000004</v>
      </c>
      <c r="X162" s="229">
        <v>13.276999999999999</v>
      </c>
      <c r="Y162" s="231"/>
    </row>
    <row r="163" spans="1:25" s="230" customFormat="1" ht="15.6" x14ac:dyDescent="0.3">
      <c r="A163" s="202">
        <v>302</v>
      </c>
      <c r="B163" s="204" t="s">
        <v>292</v>
      </c>
      <c r="C163" s="225"/>
      <c r="D163" s="207">
        <v>33.130000000000003</v>
      </c>
      <c r="E163" s="207">
        <v>136.69999999999999</v>
      </c>
      <c r="F163" s="229">
        <v>98.2</v>
      </c>
      <c r="G163" s="229">
        <v>55.987000000000002</v>
      </c>
      <c r="H163" s="229">
        <v>0.90400000000000003</v>
      </c>
      <c r="I163" s="229">
        <v>1.9390000000000001</v>
      </c>
      <c r="J163" s="229">
        <v>1.3069999999999999</v>
      </c>
      <c r="K163" s="235">
        <f t="shared" si="3"/>
        <v>0</v>
      </c>
      <c r="L163" s="229">
        <v>0.13700000000000001</v>
      </c>
      <c r="M163" s="229">
        <v>1.3759999999999999</v>
      </c>
      <c r="N163" s="229">
        <v>0.625</v>
      </c>
      <c r="O163" s="229">
        <v>13.331</v>
      </c>
      <c r="P163" s="229">
        <v>304.20600000000002</v>
      </c>
      <c r="Q163" s="229">
        <v>27.35</v>
      </c>
      <c r="R163" s="231"/>
      <c r="S163" s="229">
        <v>120.15</v>
      </c>
      <c r="T163" s="229">
        <v>103.345</v>
      </c>
      <c r="U163" s="229">
        <v>28.11</v>
      </c>
      <c r="V163" s="229">
        <v>2.992</v>
      </c>
      <c r="W163" s="229">
        <v>10.061</v>
      </c>
      <c r="X163" s="229">
        <v>18.218</v>
      </c>
      <c r="Y163" s="231"/>
    </row>
    <row r="164" spans="1:25" s="230" customFormat="1" ht="15.6" x14ac:dyDescent="0.3">
      <c r="A164" s="202">
        <v>303</v>
      </c>
      <c r="B164" s="204" t="s">
        <v>293</v>
      </c>
      <c r="C164" s="225"/>
      <c r="D164" s="207">
        <v>89.807000000000002</v>
      </c>
      <c r="E164" s="207">
        <v>107.5</v>
      </c>
      <c r="F164" s="229">
        <v>75.2</v>
      </c>
      <c r="G164" s="229">
        <v>13.03</v>
      </c>
      <c r="H164" s="229">
        <v>0.42599999999999999</v>
      </c>
      <c r="I164" s="229">
        <v>0.28399999999999997</v>
      </c>
      <c r="J164" s="229">
        <v>0.33600000000000002</v>
      </c>
      <c r="K164" s="235">
        <f t="shared" si="3"/>
        <v>0</v>
      </c>
      <c r="L164" s="229">
        <v>0.121</v>
      </c>
      <c r="M164" s="229">
        <v>0.16</v>
      </c>
      <c r="N164" s="229">
        <v>0.60399999999999998</v>
      </c>
      <c r="O164" s="229">
        <v>5.3049999999999997</v>
      </c>
      <c r="P164" s="229">
        <v>198.779</v>
      </c>
      <c r="Q164" s="229">
        <v>29.648</v>
      </c>
      <c r="R164" s="231"/>
      <c r="S164" s="229">
        <v>37.817999999999998</v>
      </c>
      <c r="T164" s="229">
        <v>90.989000000000004</v>
      </c>
      <c r="U164" s="229">
        <v>9.7680000000000007</v>
      </c>
      <c r="V164" s="229">
        <v>2.5299999999999998</v>
      </c>
      <c r="W164" s="229">
        <v>5.72</v>
      </c>
      <c r="X164" s="229">
        <v>10.936999999999999</v>
      </c>
      <c r="Y164" s="231"/>
    </row>
    <row r="165" spans="1:25" s="230" customFormat="1" ht="15.6" x14ac:dyDescent="0.3">
      <c r="A165" s="202">
        <v>304</v>
      </c>
      <c r="B165" s="204" t="s">
        <v>294</v>
      </c>
      <c r="C165" s="225"/>
      <c r="D165" s="207">
        <v>65.629000000000005</v>
      </c>
      <c r="E165" s="207">
        <v>103.3</v>
      </c>
      <c r="F165" s="229">
        <v>71.599999999999994</v>
      </c>
      <c r="G165" s="229">
        <v>15.302</v>
      </c>
      <c r="H165" s="229">
        <v>0.24199999999999999</v>
      </c>
      <c r="I165" s="229">
        <v>0.185</v>
      </c>
      <c r="J165" s="229">
        <v>0.21199999999999999</v>
      </c>
      <c r="K165" s="235">
        <f t="shared" si="3"/>
        <v>0</v>
      </c>
      <c r="L165" s="229">
        <v>6.0999999999999999E-2</v>
      </c>
      <c r="M165" s="229">
        <v>0.184</v>
      </c>
      <c r="N165" s="229">
        <v>0.114</v>
      </c>
      <c r="O165" s="229">
        <v>3.1739999999999999</v>
      </c>
      <c r="P165" s="229">
        <v>100.688</v>
      </c>
      <c r="Q165" s="229">
        <v>13.167999999999999</v>
      </c>
      <c r="R165" s="231"/>
      <c r="S165" s="229">
        <v>16.931000000000001</v>
      </c>
      <c r="T165" s="229">
        <v>90.215999999999994</v>
      </c>
      <c r="U165" s="229">
        <v>8.423</v>
      </c>
      <c r="V165" s="229">
        <v>1.659</v>
      </c>
      <c r="W165" s="229">
        <v>3.0019999999999998</v>
      </c>
      <c r="X165" s="229">
        <v>5.15</v>
      </c>
      <c r="Y165" s="231"/>
    </row>
    <row r="166" spans="1:25" s="230" customFormat="1" ht="15.6" x14ac:dyDescent="0.3">
      <c r="A166" s="202">
        <v>305</v>
      </c>
      <c r="B166" s="204" t="s">
        <v>295</v>
      </c>
      <c r="C166" s="225"/>
      <c r="D166" s="207">
        <v>92.674999999999997</v>
      </c>
      <c r="E166" s="207">
        <v>131.1</v>
      </c>
      <c r="F166" s="229">
        <v>94</v>
      </c>
      <c r="G166" s="229">
        <v>13.042999999999999</v>
      </c>
      <c r="H166" s="229">
        <v>0.23599999999999999</v>
      </c>
      <c r="I166" s="229">
        <v>0.113</v>
      </c>
      <c r="J166" s="229">
        <v>0.19700000000000001</v>
      </c>
      <c r="K166" s="235">
        <f t="shared" si="3"/>
        <v>0</v>
      </c>
      <c r="L166" s="229">
        <v>4.3999999999999997E-2</v>
      </c>
      <c r="M166" s="229">
        <v>0.16600000000000001</v>
      </c>
      <c r="N166" s="229">
        <v>0</v>
      </c>
      <c r="O166" s="229">
        <v>1.7270000000000001</v>
      </c>
      <c r="P166" s="229">
        <v>48.972000000000001</v>
      </c>
      <c r="Q166" s="229">
        <v>6.0640000000000001</v>
      </c>
      <c r="R166" s="231"/>
      <c r="S166" s="229">
        <v>9.8360000000000003</v>
      </c>
      <c r="T166" s="229">
        <v>105.26900000000001</v>
      </c>
      <c r="U166" s="229">
        <v>17.863</v>
      </c>
      <c r="V166" s="229">
        <v>1.1990000000000001</v>
      </c>
      <c r="W166" s="229">
        <v>4.274</v>
      </c>
      <c r="X166" s="229">
        <v>6.843</v>
      </c>
      <c r="Y166" s="231"/>
    </row>
    <row r="167" spans="1:25" s="230" customFormat="1" ht="15.6" x14ac:dyDescent="0.3">
      <c r="A167" s="202">
        <v>306</v>
      </c>
      <c r="B167" s="204" t="s">
        <v>296</v>
      </c>
      <c r="C167" s="225"/>
      <c r="D167" s="207">
        <v>24.651</v>
      </c>
      <c r="E167" s="207">
        <v>100.4</v>
      </c>
      <c r="F167" s="229">
        <v>69.199999999999989</v>
      </c>
      <c r="G167" s="229">
        <v>26.253</v>
      </c>
      <c r="H167" s="229">
        <v>1.587</v>
      </c>
      <c r="I167" s="229">
        <v>0.54200000000000004</v>
      </c>
      <c r="J167" s="229">
        <v>0.70899999999999996</v>
      </c>
      <c r="K167" s="235">
        <f t="shared" si="3"/>
        <v>0</v>
      </c>
      <c r="L167" s="229">
        <v>0.28299999999999997</v>
      </c>
      <c r="M167" s="229">
        <v>0.46400000000000002</v>
      </c>
      <c r="N167" s="229">
        <v>0</v>
      </c>
      <c r="O167" s="229">
        <v>26.725999999999999</v>
      </c>
      <c r="P167" s="229">
        <v>138.48699999999999</v>
      </c>
      <c r="Q167" s="229">
        <v>18.567</v>
      </c>
      <c r="R167" s="231"/>
      <c r="S167" s="229">
        <v>47.502000000000002</v>
      </c>
      <c r="T167" s="229">
        <v>87.953999999999994</v>
      </c>
      <c r="U167" s="229">
        <v>4.1870000000000003</v>
      </c>
      <c r="V167" s="229">
        <v>2.0449999999999999</v>
      </c>
      <c r="W167" s="229">
        <v>2.3119999999999998</v>
      </c>
      <c r="X167" s="229">
        <v>4.915</v>
      </c>
      <c r="Y167" s="231"/>
    </row>
    <row r="168" spans="1:25" s="230" customFormat="1" ht="15.6" x14ac:dyDescent="0.3">
      <c r="A168" s="202">
        <v>307</v>
      </c>
      <c r="B168" s="204" t="s">
        <v>297</v>
      </c>
      <c r="C168" s="225"/>
      <c r="D168" s="207">
        <v>89.837000000000003</v>
      </c>
      <c r="E168" s="207">
        <v>82.1</v>
      </c>
      <c r="F168" s="229">
        <v>53.5</v>
      </c>
      <c r="G168" s="229">
        <v>17.065000000000001</v>
      </c>
      <c r="H168" s="229">
        <v>0.78300000000000003</v>
      </c>
      <c r="I168" s="229">
        <v>0.13300000000000001</v>
      </c>
      <c r="J168" s="229">
        <v>0.57999999999999996</v>
      </c>
      <c r="K168" s="235">
        <f t="shared" si="3"/>
        <v>0</v>
      </c>
      <c r="L168" s="229">
        <v>0.33300000000000002</v>
      </c>
      <c r="M168" s="229">
        <v>0.20399999999999999</v>
      </c>
      <c r="N168" s="229">
        <v>0</v>
      </c>
      <c r="O168" s="229">
        <v>7.5369999999999999</v>
      </c>
      <c r="P168" s="229">
        <v>158.80099999999999</v>
      </c>
      <c r="Q168" s="229">
        <v>37.78</v>
      </c>
      <c r="R168" s="231"/>
      <c r="S168" s="229">
        <v>29.814</v>
      </c>
      <c r="T168" s="229">
        <v>75.869</v>
      </c>
      <c r="U168" s="229">
        <v>3.7370000000000001</v>
      </c>
      <c r="V168" s="229">
        <v>10.736000000000001</v>
      </c>
      <c r="W168" s="229">
        <v>19.431000000000001</v>
      </c>
      <c r="X168" s="229">
        <v>27.117999999999999</v>
      </c>
      <c r="Y168" s="231"/>
    </row>
    <row r="169" spans="1:25" s="230" customFormat="1" ht="15.6" x14ac:dyDescent="0.3">
      <c r="A169" s="202">
        <v>308</v>
      </c>
      <c r="B169" s="204" t="s">
        <v>298</v>
      </c>
      <c r="C169" s="225"/>
      <c r="D169" s="207">
        <v>91.394000000000005</v>
      </c>
      <c r="E169" s="207">
        <v>113.3</v>
      </c>
      <c r="F169" s="229">
        <v>79.600000000000009</v>
      </c>
      <c r="G169" s="229">
        <v>9.3119999999999994</v>
      </c>
      <c r="H169" s="229">
        <v>0.41499999999999998</v>
      </c>
      <c r="I169" s="229">
        <v>0.254</v>
      </c>
      <c r="J169" s="229">
        <v>0.22900000000000001</v>
      </c>
      <c r="K169" s="235">
        <f t="shared" si="3"/>
        <v>0</v>
      </c>
      <c r="L169" s="229">
        <v>0.104</v>
      </c>
      <c r="M169" s="229">
        <v>9.4E-2</v>
      </c>
      <c r="N169" s="229">
        <v>0</v>
      </c>
      <c r="O169" s="229">
        <v>5.0650000000000004</v>
      </c>
      <c r="P169" s="229">
        <v>109.756</v>
      </c>
      <c r="Q169" s="229">
        <v>17.515000000000001</v>
      </c>
      <c r="R169" s="231"/>
      <c r="S169" s="229">
        <v>20.076000000000001</v>
      </c>
      <c r="T169" s="229">
        <v>93.9</v>
      </c>
      <c r="U169" s="229">
        <v>15.239000000000001</v>
      </c>
      <c r="V169" s="229">
        <v>6.4390000000000001</v>
      </c>
      <c r="W169" s="229">
        <v>6.7350000000000003</v>
      </c>
      <c r="X169" s="229">
        <v>14.282999999999999</v>
      </c>
      <c r="Y169" s="231"/>
    </row>
    <row r="170" spans="1:25" s="230" customFormat="1" ht="15.6" x14ac:dyDescent="0.3">
      <c r="A170" s="202">
        <v>309</v>
      </c>
      <c r="B170" s="204" t="s">
        <v>299</v>
      </c>
      <c r="C170" s="225"/>
      <c r="D170" s="207">
        <v>90.975999999999999</v>
      </c>
      <c r="E170" s="207">
        <v>95.199999999999989</v>
      </c>
      <c r="F170" s="229">
        <v>64.8</v>
      </c>
      <c r="G170" s="229">
        <v>11.134</v>
      </c>
      <c r="H170" s="229">
        <v>0.45200000000000001</v>
      </c>
      <c r="I170" s="229">
        <v>0.23400000000000001</v>
      </c>
      <c r="J170" s="229">
        <v>0.37</v>
      </c>
      <c r="K170" s="235">
        <f t="shared" si="3"/>
        <v>0</v>
      </c>
      <c r="L170" s="229">
        <v>0.13700000000000001</v>
      </c>
      <c r="M170" s="229">
        <v>0.128</v>
      </c>
      <c r="N170" s="229">
        <v>0.32100000000000001</v>
      </c>
      <c r="O170" s="229">
        <v>6.3449999999999998</v>
      </c>
      <c r="P170" s="229">
        <v>281.61399999999998</v>
      </c>
      <c r="Q170" s="229">
        <v>37.127000000000002</v>
      </c>
      <c r="R170" s="231"/>
      <c r="S170" s="229">
        <v>84.156000000000006</v>
      </c>
      <c r="T170" s="229">
        <v>83.935000000000002</v>
      </c>
      <c r="U170" s="229">
        <v>5.2249999999999996</v>
      </c>
      <c r="V170" s="229">
        <v>4.6369999999999996</v>
      </c>
      <c r="W170" s="229">
        <v>5.548</v>
      </c>
      <c r="X170" s="229">
        <v>12.054</v>
      </c>
      <c r="Y170" s="231"/>
    </row>
    <row r="171" spans="1:25" s="230" customFormat="1" ht="15.6" x14ac:dyDescent="0.3">
      <c r="A171" s="202">
        <v>310</v>
      </c>
      <c r="B171" s="204" t="s">
        <v>300</v>
      </c>
      <c r="C171" s="225"/>
      <c r="D171" s="207">
        <v>91.227000000000004</v>
      </c>
      <c r="E171" s="207">
        <v>117.10000000000001</v>
      </c>
      <c r="F171" s="229">
        <v>82.699999999999989</v>
      </c>
      <c r="G171" s="229">
        <v>11.129</v>
      </c>
      <c r="H171" s="229">
        <v>0.68500000000000005</v>
      </c>
      <c r="I171" s="229">
        <v>0.23599999999999999</v>
      </c>
      <c r="J171" s="229">
        <v>0.312</v>
      </c>
      <c r="K171" s="235">
        <f t="shared" si="3"/>
        <v>0</v>
      </c>
      <c r="L171" s="229">
        <v>0.157</v>
      </c>
      <c r="M171" s="229">
        <v>0.128</v>
      </c>
      <c r="N171" s="229">
        <v>0</v>
      </c>
      <c r="O171" s="229">
        <v>9.2550000000000008</v>
      </c>
      <c r="P171" s="229">
        <v>181.822</v>
      </c>
      <c r="Q171" s="229">
        <v>24.791</v>
      </c>
      <c r="R171" s="231"/>
      <c r="S171" s="229">
        <v>31.405999999999999</v>
      </c>
      <c r="T171" s="229">
        <v>95.369</v>
      </c>
      <c r="U171" s="229">
        <v>20.024000000000001</v>
      </c>
      <c r="V171" s="229">
        <v>11.534000000000001</v>
      </c>
      <c r="W171" s="229">
        <v>11.773</v>
      </c>
      <c r="X171" s="229">
        <v>18.068000000000001</v>
      </c>
      <c r="Y171" s="231"/>
    </row>
    <row r="172" spans="1:25" s="230" customFormat="1" ht="15.6" x14ac:dyDescent="0.3">
      <c r="A172" s="202">
        <v>311</v>
      </c>
      <c r="B172" s="204" t="s">
        <v>301</v>
      </c>
      <c r="C172" s="225"/>
      <c r="D172" s="207">
        <v>49.110999999999997</v>
      </c>
      <c r="E172" s="207">
        <v>0</v>
      </c>
      <c r="F172" s="229">
        <v>0</v>
      </c>
      <c r="G172" s="229">
        <v>8.2360000000000007</v>
      </c>
      <c r="H172" s="229">
        <v>1.9E-2</v>
      </c>
      <c r="I172" s="229">
        <v>0.28999999999999998</v>
      </c>
      <c r="J172" s="229">
        <v>0.498</v>
      </c>
      <c r="K172" s="235">
        <f t="shared" si="3"/>
        <v>0</v>
      </c>
      <c r="L172" s="229">
        <v>0.54300000000000004</v>
      </c>
      <c r="M172" s="229">
        <v>0</v>
      </c>
      <c r="N172" s="229">
        <v>0</v>
      </c>
      <c r="O172" s="229">
        <v>651.07500000000005</v>
      </c>
      <c r="P172" s="229">
        <v>136.11199999999999</v>
      </c>
      <c r="Q172" s="229">
        <v>0</v>
      </c>
      <c r="R172" s="231"/>
      <c r="S172" s="229">
        <v>44.82</v>
      </c>
      <c r="T172" s="229">
        <v>0</v>
      </c>
      <c r="U172" s="229">
        <v>68.89</v>
      </c>
      <c r="V172" s="229">
        <v>0</v>
      </c>
      <c r="W172" s="229">
        <v>43.915999999999997</v>
      </c>
      <c r="X172" s="229">
        <v>48.003</v>
      </c>
      <c r="Y172" s="231"/>
    </row>
    <row r="173" spans="1:25" s="230" customFormat="1" ht="15.6" x14ac:dyDescent="0.3">
      <c r="A173" s="202">
        <v>312</v>
      </c>
      <c r="B173" s="204" t="s">
        <v>302</v>
      </c>
      <c r="C173" s="225"/>
      <c r="D173" s="207">
        <v>90.971000000000004</v>
      </c>
      <c r="E173" s="207">
        <v>110.5</v>
      </c>
      <c r="F173" s="229">
        <v>77.5</v>
      </c>
      <c r="G173" s="229">
        <v>10.345000000000001</v>
      </c>
      <c r="H173" s="229">
        <v>0.35299999999999998</v>
      </c>
      <c r="I173" s="229">
        <v>0.19800000000000001</v>
      </c>
      <c r="J173" s="229">
        <v>0.28899999999999998</v>
      </c>
      <c r="K173" s="235">
        <f t="shared" si="3"/>
        <v>0</v>
      </c>
      <c r="L173" s="229">
        <v>0.10199999999999999</v>
      </c>
      <c r="M173" s="229">
        <v>0.11799999999999999</v>
      </c>
      <c r="N173" s="229">
        <v>0</v>
      </c>
      <c r="O173" s="229">
        <v>4.3440000000000003</v>
      </c>
      <c r="P173" s="229">
        <v>199.119</v>
      </c>
      <c r="Q173" s="229">
        <v>24.298999999999999</v>
      </c>
      <c r="R173" s="231"/>
      <c r="S173" s="229">
        <v>29.911000000000001</v>
      </c>
      <c r="T173" s="229">
        <v>92.637</v>
      </c>
      <c r="U173" s="229">
        <v>11.760999999999999</v>
      </c>
      <c r="V173" s="229">
        <v>1.7849999999999999</v>
      </c>
      <c r="W173" s="229">
        <v>5.44</v>
      </c>
      <c r="X173" s="229">
        <v>10.183</v>
      </c>
      <c r="Y173" s="231"/>
    </row>
    <row r="174" spans="1:25" s="230" customFormat="1" ht="15.6" x14ac:dyDescent="0.3">
      <c r="A174" s="202">
        <v>313</v>
      </c>
      <c r="B174" s="204" t="s">
        <v>303</v>
      </c>
      <c r="C174" s="225"/>
      <c r="D174" s="207">
        <v>91.555999999999997</v>
      </c>
      <c r="E174" s="207">
        <v>95.399999999999991</v>
      </c>
      <c r="F174" s="229">
        <v>64.900000000000006</v>
      </c>
      <c r="G174" s="229">
        <v>13.287000000000001</v>
      </c>
      <c r="H174" s="229">
        <v>0.76500000000000001</v>
      </c>
      <c r="I174" s="229">
        <v>5.8000000000000003E-2</v>
      </c>
      <c r="J174" s="229">
        <v>0.51100000000000001</v>
      </c>
      <c r="K174" s="235">
        <f t="shared" si="3"/>
        <v>0</v>
      </c>
      <c r="L174" s="229">
        <v>0.224</v>
      </c>
      <c r="M174" s="229">
        <v>0.253</v>
      </c>
      <c r="N174" s="229">
        <v>0.19</v>
      </c>
      <c r="O174" s="229">
        <v>5.1219999999999999</v>
      </c>
      <c r="P174" s="229">
        <v>142.70599999999999</v>
      </c>
      <c r="Q174" s="229">
        <v>17.462</v>
      </c>
      <c r="R174" s="231"/>
      <c r="S174" s="229">
        <v>69.87</v>
      </c>
      <c r="T174" s="229">
        <v>83.403999999999996</v>
      </c>
      <c r="U174" s="229">
        <v>8.4149999999999991</v>
      </c>
      <c r="V174" s="229">
        <v>9.5459999999999994</v>
      </c>
      <c r="W174" s="229">
        <v>10.393000000000001</v>
      </c>
      <c r="X174" s="229">
        <v>33.012</v>
      </c>
      <c r="Y174" s="231"/>
    </row>
    <row r="175" spans="1:25" s="230" customFormat="1" ht="15.6" x14ac:dyDescent="0.3">
      <c r="A175" s="202">
        <v>314</v>
      </c>
      <c r="B175" s="203" t="s">
        <v>33</v>
      </c>
      <c r="C175" s="226"/>
      <c r="D175" s="207">
        <v>90</v>
      </c>
      <c r="E175" s="207">
        <v>92</v>
      </c>
      <c r="F175" s="207">
        <v>62</v>
      </c>
      <c r="G175" s="207">
        <v>21</v>
      </c>
      <c r="H175" s="207">
        <v>0.64</v>
      </c>
      <c r="I175" s="207">
        <v>0.36</v>
      </c>
      <c r="J175" s="207">
        <v>0.82</v>
      </c>
      <c r="K175" s="235">
        <f t="shared" si="3"/>
        <v>0</v>
      </c>
      <c r="L175" s="207">
        <v>0.36</v>
      </c>
      <c r="M175" s="207">
        <v>0.23</v>
      </c>
      <c r="N175" s="207">
        <v>0.1</v>
      </c>
      <c r="O175" s="207">
        <v>52</v>
      </c>
      <c r="P175" s="207">
        <v>471</v>
      </c>
      <c r="Q175" s="207">
        <v>26</v>
      </c>
      <c r="R175" s="207">
        <v>0.3</v>
      </c>
      <c r="S175" s="207">
        <v>72</v>
      </c>
      <c r="T175" s="207">
        <v>83</v>
      </c>
      <c r="U175" s="207">
        <v>2.4</v>
      </c>
      <c r="V175" s="207">
        <v>7.9</v>
      </c>
      <c r="W175" s="207">
        <v>12</v>
      </c>
      <c r="X175" s="207">
        <v>40</v>
      </c>
      <c r="Y175" s="207">
        <v>36</v>
      </c>
    </row>
    <row r="176" spans="1:25" s="230" customFormat="1" ht="15.6" x14ac:dyDescent="0.3">
      <c r="A176" s="202">
        <v>315</v>
      </c>
      <c r="B176" s="204" t="s">
        <v>33</v>
      </c>
      <c r="C176" s="225"/>
      <c r="D176" s="207">
        <v>89.209000000000003</v>
      </c>
      <c r="E176" s="207">
        <v>78.3</v>
      </c>
      <c r="F176" s="229">
        <v>50.2</v>
      </c>
      <c r="G176" s="229">
        <v>23.841999999999999</v>
      </c>
      <c r="H176" s="229">
        <v>1.4530000000000001</v>
      </c>
      <c r="I176" s="229">
        <v>0.107</v>
      </c>
      <c r="J176" s="229">
        <v>1.0429999999999999</v>
      </c>
      <c r="K176" s="235">
        <f t="shared" si="3"/>
        <v>0</v>
      </c>
      <c r="L176" s="229">
        <v>0.43</v>
      </c>
      <c r="M176" s="229">
        <v>0.495</v>
      </c>
      <c r="N176" s="229">
        <v>0.13</v>
      </c>
      <c r="O176" s="229">
        <v>6.1749999999999998</v>
      </c>
      <c r="P176" s="229">
        <v>162.65100000000001</v>
      </c>
      <c r="Q176" s="229">
        <v>21.75</v>
      </c>
      <c r="R176" s="207">
        <v>0.3</v>
      </c>
      <c r="S176" s="229">
        <v>68.78</v>
      </c>
      <c r="T176" s="229">
        <v>73.322000000000003</v>
      </c>
      <c r="U176" s="229">
        <v>4.0650000000000004</v>
      </c>
      <c r="V176" s="229">
        <v>8.6</v>
      </c>
      <c r="W176" s="229">
        <v>11.323</v>
      </c>
      <c r="X176" s="229">
        <v>35.826000000000001</v>
      </c>
      <c r="Y176" s="207">
        <v>36</v>
      </c>
    </row>
    <row r="177" spans="1:25" s="230" customFormat="1" ht="15.6" x14ac:dyDescent="0.3">
      <c r="A177" s="202">
        <v>316</v>
      </c>
      <c r="B177" s="204" t="s">
        <v>304</v>
      </c>
      <c r="C177" s="225"/>
      <c r="D177" s="207">
        <v>41.268999999999998</v>
      </c>
      <c r="E177" s="207">
        <v>94.1</v>
      </c>
      <c r="F177" s="229">
        <v>63.800000000000004</v>
      </c>
      <c r="G177" s="229">
        <v>37.075000000000003</v>
      </c>
      <c r="H177" s="229">
        <v>3.7090000000000001</v>
      </c>
      <c r="I177" s="229">
        <v>0.08</v>
      </c>
      <c r="J177" s="229">
        <v>2.7429999999999999</v>
      </c>
      <c r="K177" s="235">
        <f t="shared" si="3"/>
        <v>0</v>
      </c>
      <c r="L177" s="229">
        <v>1.2250000000000001</v>
      </c>
      <c r="M177" s="229">
        <v>1.4119999999999999</v>
      </c>
      <c r="N177" s="229">
        <v>0</v>
      </c>
      <c r="O177" s="229">
        <v>6.3449999999999998</v>
      </c>
      <c r="P177" s="229">
        <v>216.483</v>
      </c>
      <c r="Q177" s="229">
        <v>50.290999999999997</v>
      </c>
      <c r="R177" s="207">
        <v>0.3</v>
      </c>
      <c r="S177" s="229">
        <v>154.97200000000001</v>
      </c>
      <c r="T177" s="229">
        <v>83.828000000000003</v>
      </c>
      <c r="U177" s="229">
        <v>2.9830000000000001</v>
      </c>
      <c r="V177" s="229">
        <v>0.89900000000000002</v>
      </c>
      <c r="W177" s="229">
        <v>1.298</v>
      </c>
      <c r="X177" s="229">
        <v>2.835</v>
      </c>
      <c r="Y177" s="231"/>
    </row>
    <row r="178" spans="1:25" s="230" customFormat="1" ht="15.6" x14ac:dyDescent="0.3">
      <c r="A178" s="202">
        <v>317</v>
      </c>
      <c r="B178" s="204" t="s">
        <v>305</v>
      </c>
      <c r="C178" s="225"/>
      <c r="D178" s="207">
        <v>61.265999999999998</v>
      </c>
      <c r="E178" s="207">
        <v>83.6</v>
      </c>
      <c r="F178" s="229">
        <v>54.900000000000006</v>
      </c>
      <c r="G178" s="229">
        <v>22.385000000000002</v>
      </c>
      <c r="H178" s="229">
        <v>1.5449999999999999</v>
      </c>
      <c r="I178" s="229">
        <v>0.36399999999999999</v>
      </c>
      <c r="J178" s="229">
        <v>1.2589999999999999</v>
      </c>
      <c r="K178" s="235">
        <f t="shared" si="3"/>
        <v>0</v>
      </c>
      <c r="L178" s="229">
        <v>0.38400000000000001</v>
      </c>
      <c r="M178" s="229">
        <v>0.46700000000000003</v>
      </c>
      <c r="N178" s="229">
        <v>0</v>
      </c>
      <c r="O178" s="229">
        <v>6.3840000000000003</v>
      </c>
      <c r="P178" s="229">
        <v>139.77500000000001</v>
      </c>
      <c r="Q178" s="229">
        <v>23.777999999999999</v>
      </c>
      <c r="R178" s="231"/>
      <c r="S178" s="229">
        <v>70.364999999999995</v>
      </c>
      <c r="T178" s="229">
        <v>76.165999999999997</v>
      </c>
      <c r="U178" s="229">
        <v>5.2960000000000003</v>
      </c>
      <c r="V178" s="229">
        <v>0</v>
      </c>
      <c r="W178" s="229">
        <v>11.94</v>
      </c>
      <c r="X178" s="229">
        <v>34.561</v>
      </c>
      <c r="Y178" s="231"/>
    </row>
    <row r="179" spans="1:25" s="230" customFormat="1" ht="15.6" x14ac:dyDescent="0.3">
      <c r="A179" s="202">
        <v>318</v>
      </c>
      <c r="B179" s="204" t="s">
        <v>306</v>
      </c>
      <c r="C179" s="225"/>
      <c r="D179" s="207">
        <v>31.88</v>
      </c>
      <c r="E179" s="207">
        <v>126.1</v>
      </c>
      <c r="F179" s="229">
        <v>90.2</v>
      </c>
      <c r="G179" s="229">
        <v>20.22</v>
      </c>
      <c r="H179" s="229">
        <v>2.2280000000000002</v>
      </c>
      <c r="I179" s="229">
        <v>9.8000000000000004E-2</v>
      </c>
      <c r="J179" s="229">
        <v>1.5469999999999999</v>
      </c>
      <c r="K179" s="235">
        <f t="shared" si="3"/>
        <v>0</v>
      </c>
      <c r="L179" s="229">
        <v>0.67500000000000004</v>
      </c>
      <c r="M179" s="229">
        <v>1.0609999999999999</v>
      </c>
      <c r="N179" s="229">
        <v>0</v>
      </c>
      <c r="O179" s="229">
        <v>4.9429999999999996</v>
      </c>
      <c r="P179" s="229">
        <v>146.643</v>
      </c>
      <c r="Q179" s="229">
        <v>31.529</v>
      </c>
      <c r="R179" s="231"/>
      <c r="S179" s="229">
        <v>87.051000000000002</v>
      </c>
      <c r="T179" s="229">
        <v>101.816</v>
      </c>
      <c r="U179" s="229">
        <v>17.899000000000001</v>
      </c>
      <c r="V179" s="229">
        <v>1.716</v>
      </c>
      <c r="W179" s="229">
        <v>1.873</v>
      </c>
      <c r="X179" s="229">
        <v>3.9969999999999999</v>
      </c>
      <c r="Y179" s="231"/>
    </row>
    <row r="180" spans="1:25" s="230" customFormat="1" ht="15.6" x14ac:dyDescent="0.3">
      <c r="A180" s="202">
        <v>319</v>
      </c>
      <c r="B180" s="203" t="s">
        <v>307</v>
      </c>
      <c r="C180" s="226"/>
      <c r="D180" s="207">
        <v>94</v>
      </c>
      <c r="E180" s="207">
        <v>92.27</v>
      </c>
      <c r="F180" s="207">
        <v>62.27</v>
      </c>
      <c r="G180" s="207">
        <v>34.4</v>
      </c>
      <c r="H180" s="207">
        <v>0.38</v>
      </c>
      <c r="I180" s="207">
        <v>0.16</v>
      </c>
      <c r="J180" s="207">
        <v>0.74</v>
      </c>
      <c r="K180" s="235">
        <f t="shared" si="3"/>
        <v>0</v>
      </c>
      <c r="L180" s="207">
        <v>0.19</v>
      </c>
      <c r="M180" s="207">
        <v>0.18</v>
      </c>
      <c r="N180" s="207"/>
      <c r="O180" s="207"/>
      <c r="P180" s="207"/>
      <c r="Q180" s="207"/>
      <c r="R180" s="207"/>
      <c r="S180" s="207"/>
      <c r="T180" s="207">
        <v>83</v>
      </c>
      <c r="U180" s="207">
        <v>9.5</v>
      </c>
      <c r="V180" s="207">
        <v>12.7</v>
      </c>
      <c r="W180" s="207">
        <v>22</v>
      </c>
      <c r="X180" s="207">
        <v>44</v>
      </c>
      <c r="Y180" s="207">
        <v>4</v>
      </c>
    </row>
    <row r="181" spans="1:25" s="230" customFormat="1" ht="15.6" x14ac:dyDescent="0.3">
      <c r="A181" s="202">
        <v>320</v>
      </c>
      <c r="B181" s="204" t="s">
        <v>308</v>
      </c>
      <c r="C181" s="225">
        <v>15</v>
      </c>
      <c r="D181" s="207">
        <v>88.132999999999996</v>
      </c>
      <c r="E181" s="207">
        <v>98.3</v>
      </c>
      <c r="F181" s="229">
        <v>67.5</v>
      </c>
      <c r="G181" s="229">
        <v>31.172000000000001</v>
      </c>
      <c r="H181" s="229">
        <v>1.0489999999999999</v>
      </c>
      <c r="I181" s="229">
        <v>8.3000000000000004E-2</v>
      </c>
      <c r="J181" s="229">
        <v>0.88100000000000001</v>
      </c>
      <c r="K181" s="235">
        <f t="shared" si="3"/>
        <v>15</v>
      </c>
      <c r="L181" s="229">
        <v>0.32100000000000001</v>
      </c>
      <c r="M181" s="229">
        <v>0.63700000000000001</v>
      </c>
      <c r="N181" s="229">
        <v>0.51600000000000001</v>
      </c>
      <c r="O181" s="229">
        <v>5.4809999999999999</v>
      </c>
      <c r="P181" s="229">
        <v>114.714</v>
      </c>
      <c r="Q181" s="229">
        <v>23.555</v>
      </c>
      <c r="R181" s="207">
        <v>0.42</v>
      </c>
      <c r="S181" s="229">
        <v>64.762</v>
      </c>
      <c r="T181" s="229">
        <v>83.001000000000005</v>
      </c>
      <c r="U181" s="229">
        <v>12.573</v>
      </c>
      <c r="V181" s="229">
        <v>7.4459999999999997</v>
      </c>
      <c r="W181" s="229">
        <v>16.806999999999999</v>
      </c>
      <c r="X181" s="229">
        <v>33.954000000000001</v>
      </c>
      <c r="Y181" s="207">
        <v>4</v>
      </c>
    </row>
    <row r="182" spans="1:25" s="230" customFormat="1" ht="15.6" x14ac:dyDescent="0.3">
      <c r="A182" s="202">
        <v>321</v>
      </c>
      <c r="B182" s="204" t="s">
        <v>309</v>
      </c>
      <c r="C182" s="225"/>
      <c r="D182" s="207">
        <v>85.120999999999995</v>
      </c>
      <c r="E182" s="207">
        <v>87.1</v>
      </c>
      <c r="F182" s="229">
        <v>57.599999999999994</v>
      </c>
      <c r="G182" s="229">
        <v>14.798999999999999</v>
      </c>
      <c r="H182" s="229">
        <v>2.2839999999999998</v>
      </c>
      <c r="I182" s="229">
        <v>0.29699999999999999</v>
      </c>
      <c r="J182" s="229">
        <v>0.29699999999999999</v>
      </c>
      <c r="K182" s="235">
        <f t="shared" si="3"/>
        <v>0</v>
      </c>
      <c r="L182" s="229">
        <v>0.16900000000000001</v>
      </c>
      <c r="M182" s="229">
        <v>0.20499999999999999</v>
      </c>
      <c r="N182" s="229">
        <v>0</v>
      </c>
      <c r="O182" s="229">
        <v>7.2990000000000004</v>
      </c>
      <c r="P182" s="229">
        <v>295.82600000000002</v>
      </c>
      <c r="Q182" s="229">
        <v>23.292000000000002</v>
      </c>
      <c r="R182" s="231"/>
      <c r="S182" s="229">
        <v>22.969000000000001</v>
      </c>
      <c r="T182" s="229">
        <v>78.905000000000001</v>
      </c>
      <c r="U182" s="229">
        <v>4.5469999999999997</v>
      </c>
      <c r="V182" s="229">
        <v>5.8810000000000002</v>
      </c>
      <c r="W182" s="229">
        <v>13.522</v>
      </c>
      <c r="X182" s="229">
        <v>18.771999999999998</v>
      </c>
      <c r="Y182" s="231"/>
    </row>
    <row r="183" spans="1:25" s="230" customFormat="1" ht="15.6" x14ac:dyDescent="0.3">
      <c r="A183" s="202">
        <v>322</v>
      </c>
      <c r="B183" s="204" t="s">
        <v>310</v>
      </c>
      <c r="C183" s="225"/>
      <c r="D183" s="207">
        <v>26.835000000000001</v>
      </c>
      <c r="E183" s="207">
        <v>89.2</v>
      </c>
      <c r="F183" s="229">
        <v>59.5</v>
      </c>
      <c r="G183" s="229">
        <v>10.833</v>
      </c>
      <c r="H183" s="229">
        <v>1.0880000000000001</v>
      </c>
      <c r="I183" s="229">
        <v>0.45700000000000002</v>
      </c>
      <c r="J183" s="229">
        <v>0.307</v>
      </c>
      <c r="K183" s="235">
        <f t="shared" si="3"/>
        <v>0</v>
      </c>
      <c r="L183" s="229">
        <v>0.111</v>
      </c>
      <c r="M183" s="229">
        <v>0.13400000000000001</v>
      </c>
      <c r="N183" s="229">
        <v>1.2190000000000001</v>
      </c>
      <c r="O183" s="229">
        <v>8.9320000000000004</v>
      </c>
      <c r="P183" s="229">
        <v>745.36599999999999</v>
      </c>
      <c r="Q183" s="229">
        <v>30.132000000000001</v>
      </c>
      <c r="R183" s="231"/>
      <c r="S183" s="229">
        <v>31.257999999999999</v>
      </c>
      <c r="T183" s="229">
        <v>79.63</v>
      </c>
      <c r="U183" s="229">
        <v>6.8</v>
      </c>
      <c r="V183" s="229">
        <v>9.01</v>
      </c>
      <c r="W183" s="229">
        <v>16.364999999999998</v>
      </c>
      <c r="X183" s="229">
        <v>22.827000000000002</v>
      </c>
      <c r="Y183" s="231"/>
    </row>
    <row r="184" spans="1:25" s="230" customFormat="1" ht="15.6" x14ac:dyDescent="0.3">
      <c r="A184" s="202">
        <v>323</v>
      </c>
      <c r="B184" s="204" t="s">
        <v>311</v>
      </c>
      <c r="C184" s="225"/>
      <c r="D184" s="207">
        <v>67.411000000000001</v>
      </c>
      <c r="E184" s="207">
        <v>53.1</v>
      </c>
      <c r="F184" s="229">
        <v>28.499999999999996</v>
      </c>
      <c r="G184" s="229">
        <v>27.481000000000002</v>
      </c>
      <c r="H184" s="229">
        <v>2.7959999999999998</v>
      </c>
      <c r="I184" s="229">
        <v>4.1150000000000002</v>
      </c>
      <c r="J184" s="229">
        <v>1.8640000000000001</v>
      </c>
      <c r="K184" s="235">
        <f t="shared" si="3"/>
        <v>0</v>
      </c>
      <c r="L184" s="229">
        <v>0.63600000000000001</v>
      </c>
      <c r="M184" s="229">
        <v>0</v>
      </c>
      <c r="N184" s="229">
        <v>0</v>
      </c>
      <c r="O184" s="229">
        <v>348.63099999999997</v>
      </c>
      <c r="P184" s="229">
        <v>2393.2570000000001</v>
      </c>
      <c r="Q184" s="229">
        <v>483.03300000000002</v>
      </c>
      <c r="R184" s="231"/>
      <c r="S184" s="229">
        <v>441.07</v>
      </c>
      <c r="T184" s="229">
        <v>56.582999999999998</v>
      </c>
      <c r="U184" s="229">
        <v>3.58</v>
      </c>
      <c r="V184" s="229">
        <v>14.499000000000001</v>
      </c>
      <c r="W184" s="229">
        <v>24.986999999999998</v>
      </c>
      <c r="X184" s="229">
        <v>36.137</v>
      </c>
      <c r="Y184" s="231"/>
    </row>
    <row r="185" spans="1:25" s="230" customFormat="1" ht="15.6" x14ac:dyDescent="0.3">
      <c r="A185" s="202">
        <v>324</v>
      </c>
      <c r="B185" s="204" t="s">
        <v>312</v>
      </c>
      <c r="C185" s="225"/>
      <c r="D185" s="207">
        <v>90.302999999999997</v>
      </c>
      <c r="E185" s="207">
        <v>98.7</v>
      </c>
      <c r="F185" s="229">
        <v>67.7</v>
      </c>
      <c r="G185" s="229">
        <v>12.766999999999999</v>
      </c>
      <c r="H185" s="229">
        <v>0.98299999999999998</v>
      </c>
      <c r="I185" s="229">
        <v>0.92900000000000005</v>
      </c>
      <c r="J185" s="229">
        <v>1.2769999999999999</v>
      </c>
      <c r="K185" s="235">
        <f t="shared" si="3"/>
        <v>0</v>
      </c>
      <c r="L185" s="229">
        <v>0.49199999999999999</v>
      </c>
      <c r="M185" s="229">
        <v>0.14799999999999999</v>
      </c>
      <c r="N185" s="229">
        <v>0</v>
      </c>
      <c r="O185" s="229">
        <v>9.9019999999999992</v>
      </c>
      <c r="P185" s="229">
        <v>617.39300000000003</v>
      </c>
      <c r="Q185" s="229">
        <v>145.74299999999999</v>
      </c>
      <c r="R185" s="231"/>
      <c r="S185" s="229">
        <v>79.599999999999994</v>
      </c>
      <c r="T185" s="229">
        <v>83.195999999999998</v>
      </c>
      <c r="U185" s="229">
        <v>14.144</v>
      </c>
      <c r="V185" s="229">
        <v>7.7309999999999999</v>
      </c>
      <c r="W185" s="229">
        <v>15.558999999999999</v>
      </c>
      <c r="X185" s="229">
        <v>23.579000000000001</v>
      </c>
      <c r="Y185" s="231"/>
    </row>
    <row r="186" spans="1:25" s="230" customFormat="1" ht="15.6" x14ac:dyDescent="0.3">
      <c r="A186" s="202">
        <v>325</v>
      </c>
      <c r="B186" s="204" t="s">
        <v>313</v>
      </c>
      <c r="C186" s="225"/>
      <c r="D186" s="207">
        <v>47.543999999999997</v>
      </c>
      <c r="E186" s="207">
        <v>99.6</v>
      </c>
      <c r="F186" s="229">
        <v>68.2</v>
      </c>
      <c r="G186" s="229">
        <v>10.231</v>
      </c>
      <c r="H186" s="229">
        <v>0.42199999999999999</v>
      </c>
      <c r="I186" s="229">
        <v>0.58399999999999996</v>
      </c>
      <c r="J186" s="229">
        <v>0.30099999999999999</v>
      </c>
      <c r="K186" s="235">
        <f t="shared" si="3"/>
        <v>0</v>
      </c>
      <c r="L186" s="229">
        <v>6.2E-2</v>
      </c>
      <c r="M186" s="229">
        <v>0.152</v>
      </c>
      <c r="N186" s="229">
        <v>0</v>
      </c>
      <c r="O186" s="229">
        <v>7.891</v>
      </c>
      <c r="P186" s="229">
        <v>402.90899999999999</v>
      </c>
      <c r="Q186" s="229">
        <v>17.129000000000001</v>
      </c>
      <c r="R186" s="231"/>
      <c r="S186" s="229">
        <v>25.262</v>
      </c>
      <c r="T186" s="229">
        <v>85.962999999999994</v>
      </c>
      <c r="U186" s="229">
        <v>11.114000000000001</v>
      </c>
      <c r="V186" s="229">
        <v>4.093</v>
      </c>
      <c r="W186" s="229">
        <v>14.308</v>
      </c>
      <c r="X186" s="229">
        <v>19.885999999999999</v>
      </c>
      <c r="Y186" s="231"/>
    </row>
    <row r="187" spans="1:25" s="230" customFormat="1" ht="15.6" x14ac:dyDescent="0.3">
      <c r="A187" s="202">
        <v>326</v>
      </c>
      <c r="B187" s="204" t="s">
        <v>314</v>
      </c>
      <c r="C187" s="225"/>
      <c r="D187" s="207">
        <v>92.875</v>
      </c>
      <c r="E187" s="207">
        <v>125</v>
      </c>
      <c r="F187" s="229">
        <v>88.8</v>
      </c>
      <c r="G187" s="229">
        <v>9.2230000000000008</v>
      </c>
      <c r="H187" s="229">
        <v>0.66200000000000003</v>
      </c>
      <c r="I187" s="229">
        <v>0.65400000000000003</v>
      </c>
      <c r="J187" s="229">
        <v>0.20599999999999999</v>
      </c>
      <c r="K187" s="235">
        <f t="shared" si="3"/>
        <v>0</v>
      </c>
      <c r="L187" s="229">
        <v>8.3000000000000004E-2</v>
      </c>
      <c r="M187" s="229">
        <v>9.2999999999999999E-2</v>
      </c>
      <c r="N187" s="229">
        <v>0</v>
      </c>
      <c r="O187" s="229">
        <v>3.2029999999999998</v>
      </c>
      <c r="P187" s="229">
        <v>138.71</v>
      </c>
      <c r="Q187" s="229">
        <v>12.574</v>
      </c>
      <c r="R187" s="231"/>
      <c r="S187" s="229">
        <v>15.98</v>
      </c>
      <c r="T187" s="229">
        <v>100.357</v>
      </c>
      <c r="U187" s="229">
        <v>22.556999999999999</v>
      </c>
      <c r="V187" s="229">
        <v>3.323</v>
      </c>
      <c r="W187" s="229">
        <v>7.4850000000000003</v>
      </c>
      <c r="X187" s="229">
        <v>12.23</v>
      </c>
      <c r="Y187" s="231"/>
    </row>
    <row r="188" spans="1:25" s="230" customFormat="1" ht="15.6" x14ac:dyDescent="0.3">
      <c r="A188" s="202">
        <v>327</v>
      </c>
      <c r="B188" s="204" t="s">
        <v>315</v>
      </c>
      <c r="C188" s="225"/>
      <c r="D188" s="207">
        <v>38.692</v>
      </c>
      <c r="E188" s="207">
        <v>96.5</v>
      </c>
      <c r="F188" s="229">
        <v>65.8</v>
      </c>
      <c r="G188" s="229">
        <v>31.236000000000001</v>
      </c>
      <c r="H188" s="229">
        <v>0.78800000000000003</v>
      </c>
      <c r="I188" s="229">
        <v>0.41499999999999998</v>
      </c>
      <c r="J188" s="229">
        <v>0.31900000000000001</v>
      </c>
      <c r="K188" s="235">
        <f t="shared" si="3"/>
        <v>0</v>
      </c>
      <c r="L188" s="229">
        <v>0.11899999999999999</v>
      </c>
      <c r="M188" s="229">
        <v>0</v>
      </c>
      <c r="N188" s="229">
        <v>0</v>
      </c>
      <c r="O188" s="229">
        <v>19.724</v>
      </c>
      <c r="P188" s="229">
        <v>132.804</v>
      </c>
      <c r="Q188" s="229">
        <v>24.135999999999999</v>
      </c>
      <c r="R188" s="231"/>
      <c r="S188" s="229">
        <v>42.875</v>
      </c>
      <c r="T188" s="229">
        <v>82.411000000000001</v>
      </c>
      <c r="U188" s="229">
        <v>12.917999999999999</v>
      </c>
      <c r="V188" s="229">
        <v>13.597</v>
      </c>
      <c r="W188" s="229">
        <v>21.51</v>
      </c>
      <c r="X188" s="229">
        <v>30.509</v>
      </c>
      <c r="Y188" s="231"/>
    </row>
    <row r="189" spans="1:25" s="230" customFormat="1" ht="15.6" x14ac:dyDescent="0.3">
      <c r="A189" s="202">
        <v>328</v>
      </c>
      <c r="B189" s="204" t="s">
        <v>315</v>
      </c>
      <c r="C189" s="225"/>
      <c r="D189" s="207">
        <v>89.403999999999996</v>
      </c>
      <c r="E189" s="207">
        <v>99.3</v>
      </c>
      <c r="F189" s="229">
        <v>68.100000000000009</v>
      </c>
      <c r="G189" s="229">
        <v>33.917000000000002</v>
      </c>
      <c r="H189" s="229">
        <v>1.365</v>
      </c>
      <c r="I189" s="229">
        <v>0.40899999999999997</v>
      </c>
      <c r="J189" s="229">
        <v>0.439</v>
      </c>
      <c r="K189" s="235">
        <f t="shared" si="3"/>
        <v>0</v>
      </c>
      <c r="L189" s="229">
        <v>0.19500000000000001</v>
      </c>
      <c r="M189" s="229">
        <v>0.29499999999999998</v>
      </c>
      <c r="N189" s="229">
        <v>0</v>
      </c>
      <c r="O189" s="229">
        <v>12.343</v>
      </c>
      <c r="P189" s="229">
        <v>157.71299999999999</v>
      </c>
      <c r="Q189" s="229">
        <v>27.077000000000002</v>
      </c>
      <c r="R189" s="231"/>
      <c r="S189" s="229">
        <v>51.493000000000002</v>
      </c>
      <c r="T189" s="229">
        <v>84.950999999999993</v>
      </c>
      <c r="U189" s="229">
        <v>12.057</v>
      </c>
      <c r="V189" s="229">
        <v>14.276</v>
      </c>
      <c r="W189" s="229">
        <v>19.667999999999999</v>
      </c>
      <c r="X189" s="229">
        <v>29.145</v>
      </c>
      <c r="Y189" s="231"/>
    </row>
    <row r="190" spans="1:25" s="230" customFormat="1" ht="15.6" x14ac:dyDescent="0.3">
      <c r="A190" s="202">
        <v>329</v>
      </c>
      <c r="B190" s="204" t="s">
        <v>316</v>
      </c>
      <c r="C190" s="225"/>
      <c r="D190" s="207">
        <v>88.304000000000002</v>
      </c>
      <c r="E190" s="207">
        <v>80.2</v>
      </c>
      <c r="F190" s="229">
        <v>51.9</v>
      </c>
      <c r="G190" s="229">
        <v>3.7930000000000001</v>
      </c>
      <c r="H190" s="229">
        <v>0.47299999999999998</v>
      </c>
      <c r="I190" s="229">
        <v>0.30299999999999999</v>
      </c>
      <c r="J190" s="229">
        <v>0.08</v>
      </c>
      <c r="K190" s="235">
        <f t="shared" si="3"/>
        <v>0</v>
      </c>
      <c r="L190" s="229">
        <v>9.2999999999999999E-2</v>
      </c>
      <c r="M190" s="229">
        <v>3.5000000000000003E-2</v>
      </c>
      <c r="N190" s="229">
        <v>0</v>
      </c>
      <c r="O190" s="229">
        <v>7.3449999999999998</v>
      </c>
      <c r="P190" s="229">
        <v>1430.232</v>
      </c>
      <c r="Q190" s="229">
        <v>58.463000000000001</v>
      </c>
      <c r="R190" s="231"/>
      <c r="S190" s="229">
        <v>29.027999999999999</v>
      </c>
      <c r="T190" s="229">
        <v>75.349999999999994</v>
      </c>
      <c r="U190" s="229">
        <v>0.77200000000000002</v>
      </c>
      <c r="V190" s="229">
        <v>8.6890000000000001</v>
      </c>
      <c r="W190" s="229">
        <v>15.606999999999999</v>
      </c>
      <c r="X190" s="229">
        <v>19.652000000000001</v>
      </c>
      <c r="Y190" s="231"/>
    </row>
    <row r="191" spans="1:25" s="230" customFormat="1" ht="15.6" x14ac:dyDescent="0.3">
      <c r="A191" s="202">
        <v>330</v>
      </c>
      <c r="B191" s="204" t="s">
        <v>317</v>
      </c>
      <c r="C191" s="225"/>
      <c r="D191" s="207">
        <v>92.813999999999993</v>
      </c>
      <c r="E191" s="207">
        <v>99.8</v>
      </c>
      <c r="F191" s="229">
        <v>68.5</v>
      </c>
      <c r="G191" s="229">
        <v>29.407</v>
      </c>
      <c r="H191" s="229">
        <v>1.31</v>
      </c>
      <c r="I191" s="229">
        <v>0.374</v>
      </c>
      <c r="J191" s="229">
        <v>0.41399999999999998</v>
      </c>
      <c r="K191" s="235">
        <f t="shared" si="3"/>
        <v>0</v>
      </c>
      <c r="L191" s="229">
        <v>0.16200000000000001</v>
      </c>
      <c r="M191" s="229">
        <v>0</v>
      </c>
      <c r="N191" s="229">
        <v>0</v>
      </c>
      <c r="O191" s="229">
        <v>6.702</v>
      </c>
      <c r="P191" s="229">
        <v>82.334999999999994</v>
      </c>
      <c r="Q191" s="229">
        <v>20.602</v>
      </c>
      <c r="R191" s="231"/>
      <c r="S191" s="229">
        <v>26.042999999999999</v>
      </c>
      <c r="T191" s="229">
        <v>85.197000000000003</v>
      </c>
      <c r="U191" s="229">
        <v>13.888</v>
      </c>
      <c r="V191" s="229">
        <v>11.393000000000001</v>
      </c>
      <c r="W191" s="229">
        <v>22.544</v>
      </c>
      <c r="X191" s="229">
        <v>34.414999999999999</v>
      </c>
      <c r="Y191" s="231"/>
    </row>
    <row r="192" spans="1:25" s="230" customFormat="1" ht="15.6" x14ac:dyDescent="0.3">
      <c r="A192" s="202">
        <v>331</v>
      </c>
      <c r="B192" s="204" t="s">
        <v>318</v>
      </c>
      <c r="C192" s="225"/>
      <c r="D192" s="207">
        <v>23.888000000000002</v>
      </c>
      <c r="E192" s="207">
        <v>96.1</v>
      </c>
      <c r="F192" s="229">
        <v>65.5</v>
      </c>
      <c r="G192" s="229">
        <v>30.172000000000001</v>
      </c>
      <c r="H192" s="229">
        <v>1.333</v>
      </c>
      <c r="I192" s="229">
        <v>0.40500000000000003</v>
      </c>
      <c r="J192" s="229">
        <v>0.435</v>
      </c>
      <c r="K192" s="235">
        <f t="shared" si="3"/>
        <v>0</v>
      </c>
      <c r="L192" s="229">
        <v>0.182</v>
      </c>
      <c r="M192" s="229">
        <v>0</v>
      </c>
      <c r="N192" s="229">
        <v>0</v>
      </c>
      <c r="O192" s="229">
        <v>7.7919999999999998</v>
      </c>
      <c r="P192" s="229">
        <v>108.30200000000001</v>
      </c>
      <c r="Q192" s="229">
        <v>24.234000000000002</v>
      </c>
      <c r="R192" s="231"/>
      <c r="S192" s="229">
        <v>28.285</v>
      </c>
      <c r="T192" s="229">
        <v>82.742000000000004</v>
      </c>
      <c r="U192" s="229">
        <v>13.754</v>
      </c>
      <c r="V192" s="229">
        <v>13.156000000000001</v>
      </c>
      <c r="W192" s="229">
        <v>25.064</v>
      </c>
      <c r="X192" s="229">
        <v>33.191000000000003</v>
      </c>
      <c r="Y192" s="231"/>
    </row>
    <row r="193" spans="1:25" s="230" customFormat="1" ht="15.6" x14ac:dyDescent="0.3">
      <c r="A193" s="202">
        <v>332</v>
      </c>
      <c r="B193" s="204" t="s">
        <v>319</v>
      </c>
      <c r="C193" s="225"/>
      <c r="D193" s="207">
        <v>26.838999999999999</v>
      </c>
      <c r="E193" s="207">
        <v>60.9</v>
      </c>
      <c r="F193" s="229">
        <v>34.599999999999994</v>
      </c>
      <c r="G193" s="229">
        <v>19.949000000000002</v>
      </c>
      <c r="H193" s="229">
        <v>2.484</v>
      </c>
      <c r="I193" s="229">
        <v>0.81399999999999995</v>
      </c>
      <c r="J193" s="229">
        <v>0.42799999999999999</v>
      </c>
      <c r="K193" s="235">
        <f t="shared" si="3"/>
        <v>0</v>
      </c>
      <c r="L193" s="229">
        <v>0.29199999999999998</v>
      </c>
      <c r="M193" s="229">
        <v>0.34100000000000003</v>
      </c>
      <c r="N193" s="229">
        <v>1.27</v>
      </c>
      <c r="O193" s="229">
        <v>9.6199999999999992</v>
      </c>
      <c r="P193" s="229">
        <v>653.30499999999995</v>
      </c>
      <c r="Q193" s="229">
        <v>45.868000000000002</v>
      </c>
      <c r="R193" s="231"/>
      <c r="S193" s="229">
        <v>35.173000000000002</v>
      </c>
      <c r="T193" s="229">
        <v>61.856000000000002</v>
      </c>
      <c r="U193" s="229">
        <v>8.83</v>
      </c>
      <c r="V193" s="229">
        <v>22.387</v>
      </c>
      <c r="W193" s="229">
        <v>34.857999999999997</v>
      </c>
      <c r="X193" s="229">
        <v>43.164000000000001</v>
      </c>
      <c r="Y193" s="231"/>
    </row>
    <row r="194" spans="1:25" s="230" customFormat="1" ht="15.6" x14ac:dyDescent="0.3">
      <c r="A194" s="202">
        <v>333</v>
      </c>
      <c r="B194" s="204" t="s">
        <v>320</v>
      </c>
      <c r="C194" s="225"/>
      <c r="D194" s="207">
        <v>25.689</v>
      </c>
      <c r="E194" s="207">
        <v>80.900000000000006</v>
      </c>
      <c r="F194" s="229">
        <v>52.6</v>
      </c>
      <c r="G194" s="229">
        <v>29.523</v>
      </c>
      <c r="H194" s="229">
        <v>0.151</v>
      </c>
      <c r="I194" s="229">
        <v>0.34899999999999998</v>
      </c>
      <c r="J194" s="229">
        <v>0.67900000000000005</v>
      </c>
      <c r="K194" s="235">
        <f t="shared" si="3"/>
        <v>0</v>
      </c>
      <c r="L194" s="229">
        <v>0.22700000000000001</v>
      </c>
      <c r="M194" s="229">
        <v>0</v>
      </c>
      <c r="N194" s="229">
        <v>3.1139999999999999</v>
      </c>
      <c r="O194" s="229">
        <v>10.885999999999999</v>
      </c>
      <c r="P194" s="229">
        <v>235.215</v>
      </c>
      <c r="Q194" s="229">
        <v>51.706000000000003</v>
      </c>
      <c r="R194" s="231"/>
      <c r="S194" s="229">
        <v>92.156000000000006</v>
      </c>
      <c r="T194" s="229">
        <v>74.039000000000001</v>
      </c>
      <c r="U194" s="229">
        <v>9.391</v>
      </c>
      <c r="V194" s="229">
        <v>12.211</v>
      </c>
      <c r="W194" s="229">
        <v>23.73</v>
      </c>
      <c r="X194" s="229">
        <v>48.710999999999999</v>
      </c>
      <c r="Y194" s="231"/>
    </row>
    <row r="195" spans="1:25" s="230" customFormat="1" ht="15.6" x14ac:dyDescent="0.3">
      <c r="A195" s="202">
        <v>334</v>
      </c>
      <c r="B195" s="204" t="s">
        <v>321</v>
      </c>
      <c r="C195" s="225"/>
      <c r="D195" s="207">
        <v>42.607999999999997</v>
      </c>
      <c r="E195" s="207">
        <v>76.7</v>
      </c>
      <c r="F195" s="229">
        <v>48.9</v>
      </c>
      <c r="G195" s="229">
        <v>25.484999999999999</v>
      </c>
      <c r="H195" s="229">
        <v>1.871</v>
      </c>
      <c r="I195" s="229">
        <v>7.1999999999999995E-2</v>
      </c>
      <c r="J195" s="229">
        <v>1.31</v>
      </c>
      <c r="K195" s="235">
        <f t="shared" si="3"/>
        <v>0</v>
      </c>
      <c r="L195" s="229">
        <v>0.54400000000000004</v>
      </c>
      <c r="M195" s="229">
        <v>0</v>
      </c>
      <c r="N195" s="229">
        <v>0</v>
      </c>
      <c r="O195" s="229">
        <v>6.0090000000000003</v>
      </c>
      <c r="P195" s="229">
        <v>165.19200000000001</v>
      </c>
      <c r="Q195" s="229">
        <v>24.972000000000001</v>
      </c>
      <c r="R195" s="231"/>
      <c r="S195" s="229">
        <v>84.436999999999998</v>
      </c>
      <c r="T195" s="229">
        <v>72.545000000000002</v>
      </c>
      <c r="U195" s="229">
        <v>3.496</v>
      </c>
      <c r="V195" s="229">
        <v>7.3460000000000001</v>
      </c>
      <c r="W195" s="229">
        <v>12.113</v>
      </c>
      <c r="X195" s="229">
        <v>37.856000000000002</v>
      </c>
      <c r="Y195" s="231"/>
    </row>
    <row r="196" spans="1:25" s="230" customFormat="1" ht="15.6" x14ac:dyDescent="0.3">
      <c r="A196" s="202">
        <v>335</v>
      </c>
      <c r="B196" s="204" t="s">
        <v>322</v>
      </c>
      <c r="C196" s="225"/>
      <c r="D196" s="207">
        <v>33.712000000000003</v>
      </c>
      <c r="E196" s="207">
        <v>100.49999999999999</v>
      </c>
      <c r="F196" s="229">
        <v>69.3</v>
      </c>
      <c r="G196" s="229">
        <v>30.170999999999999</v>
      </c>
      <c r="H196" s="229">
        <v>0.99399999999999999</v>
      </c>
      <c r="I196" s="229">
        <v>8.1000000000000003E-2</v>
      </c>
      <c r="J196" s="229">
        <v>0.85</v>
      </c>
      <c r="K196" s="235">
        <f t="shared" si="3"/>
        <v>0</v>
      </c>
      <c r="L196" s="229">
        <v>0.31900000000000001</v>
      </c>
      <c r="M196" s="229">
        <v>0.58099999999999996</v>
      </c>
      <c r="N196" s="229">
        <v>0</v>
      </c>
      <c r="O196" s="229">
        <v>4.9980000000000002</v>
      </c>
      <c r="P196" s="229">
        <v>131.53700000000001</v>
      </c>
      <c r="Q196" s="229">
        <v>18.734999999999999</v>
      </c>
      <c r="R196" s="231"/>
      <c r="S196" s="229">
        <v>57.744</v>
      </c>
      <c r="T196" s="229">
        <v>84.641999999999996</v>
      </c>
      <c r="U196" s="229">
        <v>12.667999999999999</v>
      </c>
      <c r="V196" s="229">
        <v>7.008</v>
      </c>
      <c r="W196" s="229">
        <v>15.561999999999999</v>
      </c>
      <c r="X196" s="229">
        <v>31.393000000000001</v>
      </c>
      <c r="Y196" s="231"/>
    </row>
    <row r="197" spans="1:25" s="230" customFormat="1" ht="15.6" x14ac:dyDescent="0.3">
      <c r="A197" s="202">
        <v>336</v>
      </c>
      <c r="B197" s="204" t="s">
        <v>323</v>
      </c>
      <c r="C197" s="225"/>
      <c r="D197" s="207">
        <v>52.579000000000001</v>
      </c>
      <c r="E197" s="207">
        <v>0</v>
      </c>
      <c r="F197" s="229">
        <v>0</v>
      </c>
      <c r="G197" s="229">
        <v>30.791</v>
      </c>
      <c r="H197" s="229">
        <v>0.90900000000000003</v>
      </c>
      <c r="I197" s="229">
        <v>1.2509999999999999</v>
      </c>
      <c r="J197" s="229">
        <v>0.92900000000000005</v>
      </c>
      <c r="K197" s="235">
        <f t="shared" ref="K197:K260" si="4">C197</f>
        <v>0</v>
      </c>
      <c r="L197" s="229">
        <v>0.11600000000000001</v>
      </c>
      <c r="M197" s="229">
        <v>0</v>
      </c>
      <c r="N197" s="229">
        <v>1.2649999999999999</v>
      </c>
      <c r="O197" s="229">
        <v>13.227</v>
      </c>
      <c r="P197" s="229">
        <v>190.22200000000001</v>
      </c>
      <c r="Q197" s="229">
        <v>27.050999999999998</v>
      </c>
      <c r="R197" s="231"/>
      <c r="S197" s="229">
        <v>125.693</v>
      </c>
      <c r="T197" s="229">
        <v>0</v>
      </c>
      <c r="U197" s="229">
        <v>21.164000000000001</v>
      </c>
      <c r="V197" s="229">
        <v>2.7010000000000001</v>
      </c>
      <c r="W197" s="229">
        <v>6.54</v>
      </c>
      <c r="X197" s="229">
        <v>20.332000000000001</v>
      </c>
      <c r="Y197" s="231"/>
    </row>
    <row r="198" spans="1:25" s="230" customFormat="1" ht="15.6" x14ac:dyDescent="0.3">
      <c r="A198" s="202">
        <v>337</v>
      </c>
      <c r="B198" s="231"/>
      <c r="C198" s="225"/>
      <c r="D198" s="231"/>
      <c r="E198" s="231"/>
      <c r="F198" s="229"/>
      <c r="G198" s="229"/>
      <c r="H198" s="229"/>
      <c r="I198" s="229"/>
      <c r="J198" s="229"/>
      <c r="K198" s="235">
        <f t="shared" si="4"/>
        <v>0</v>
      </c>
      <c r="L198" s="229"/>
      <c r="M198" s="229"/>
      <c r="N198" s="229"/>
      <c r="O198" s="229"/>
      <c r="P198" s="229"/>
      <c r="Q198" s="229"/>
      <c r="R198" s="231"/>
      <c r="S198" s="229"/>
      <c r="T198" s="229"/>
      <c r="U198" s="229"/>
      <c r="V198" s="229"/>
      <c r="W198" s="229"/>
      <c r="X198" s="229"/>
      <c r="Y198" s="231"/>
    </row>
    <row r="199" spans="1:25" s="230" customFormat="1" ht="15.6" x14ac:dyDescent="0.3">
      <c r="A199" s="202">
        <v>338</v>
      </c>
      <c r="B199" s="231"/>
      <c r="C199" s="225"/>
      <c r="D199" s="231"/>
      <c r="E199" s="231"/>
      <c r="F199" s="229"/>
      <c r="G199" s="229"/>
      <c r="H199" s="229"/>
      <c r="I199" s="229"/>
      <c r="J199" s="229"/>
      <c r="K199" s="235">
        <f t="shared" si="4"/>
        <v>0</v>
      </c>
      <c r="L199" s="229"/>
      <c r="M199" s="229"/>
      <c r="N199" s="229"/>
      <c r="O199" s="229"/>
      <c r="P199" s="229"/>
      <c r="Q199" s="229"/>
      <c r="R199" s="231"/>
      <c r="S199" s="229"/>
      <c r="T199" s="229"/>
      <c r="U199" s="229"/>
      <c r="V199" s="229"/>
      <c r="W199" s="229"/>
      <c r="X199" s="229"/>
      <c r="Y199" s="231"/>
    </row>
    <row r="200" spans="1:25" s="230" customFormat="1" ht="15.6" x14ac:dyDescent="0.3">
      <c r="A200" s="202">
        <v>339</v>
      </c>
      <c r="B200" s="231"/>
      <c r="C200" s="225"/>
      <c r="D200" s="231"/>
      <c r="E200" s="231"/>
      <c r="F200" s="229"/>
      <c r="G200" s="229"/>
      <c r="H200" s="229"/>
      <c r="I200" s="229"/>
      <c r="J200" s="229"/>
      <c r="K200" s="235">
        <f t="shared" si="4"/>
        <v>0</v>
      </c>
      <c r="L200" s="229"/>
      <c r="M200" s="229"/>
      <c r="N200" s="229"/>
      <c r="O200" s="229"/>
      <c r="P200" s="229"/>
      <c r="Q200" s="229"/>
      <c r="R200" s="231"/>
      <c r="S200" s="229"/>
      <c r="T200" s="229"/>
      <c r="U200" s="229"/>
      <c r="V200" s="229"/>
      <c r="W200" s="229"/>
      <c r="X200" s="229"/>
      <c r="Y200" s="231"/>
    </row>
    <row r="201" spans="1:25" s="230" customFormat="1" ht="15.6" x14ac:dyDescent="0.3">
      <c r="A201" s="202">
        <v>340</v>
      </c>
      <c r="B201" s="231"/>
      <c r="C201" s="225"/>
      <c r="D201" s="231"/>
      <c r="E201" s="231"/>
      <c r="F201" s="229"/>
      <c r="G201" s="229"/>
      <c r="H201" s="229"/>
      <c r="I201" s="229"/>
      <c r="J201" s="229"/>
      <c r="K201" s="235">
        <f t="shared" si="4"/>
        <v>0</v>
      </c>
      <c r="L201" s="229"/>
      <c r="M201" s="229"/>
      <c r="N201" s="229"/>
      <c r="O201" s="229"/>
      <c r="P201" s="229"/>
      <c r="Q201" s="229"/>
      <c r="R201" s="231"/>
      <c r="S201" s="229"/>
      <c r="T201" s="229"/>
      <c r="U201" s="229"/>
      <c r="V201" s="229"/>
      <c r="W201" s="229"/>
      <c r="X201" s="229"/>
      <c r="Y201" s="231"/>
    </row>
    <row r="202" spans="1:25" s="230" customFormat="1" ht="15.6" x14ac:dyDescent="0.3">
      <c r="A202" s="202">
        <v>341</v>
      </c>
      <c r="B202" s="231"/>
      <c r="C202" s="225"/>
      <c r="D202" s="231"/>
      <c r="E202" s="231"/>
      <c r="F202" s="229"/>
      <c r="G202" s="229"/>
      <c r="H202" s="229"/>
      <c r="I202" s="229"/>
      <c r="J202" s="229"/>
      <c r="K202" s="235">
        <f t="shared" si="4"/>
        <v>0</v>
      </c>
      <c r="L202" s="229"/>
      <c r="M202" s="229"/>
      <c r="N202" s="229"/>
      <c r="O202" s="229"/>
      <c r="P202" s="229"/>
      <c r="Q202" s="229"/>
      <c r="R202" s="231"/>
      <c r="S202" s="229"/>
      <c r="T202" s="229"/>
      <c r="U202" s="229"/>
      <c r="V202" s="229"/>
      <c r="W202" s="229"/>
      <c r="X202" s="229"/>
      <c r="Y202" s="231"/>
    </row>
    <row r="203" spans="1:25" s="230" customFormat="1" ht="15.6" x14ac:dyDescent="0.3">
      <c r="A203" s="202">
        <v>342</v>
      </c>
      <c r="B203" s="231"/>
      <c r="C203" s="225"/>
      <c r="D203" s="231"/>
      <c r="E203" s="231"/>
      <c r="F203" s="229"/>
      <c r="G203" s="229"/>
      <c r="H203" s="229"/>
      <c r="I203" s="229"/>
      <c r="J203" s="229"/>
      <c r="K203" s="235">
        <f t="shared" si="4"/>
        <v>0</v>
      </c>
      <c r="L203" s="229"/>
      <c r="M203" s="229"/>
      <c r="N203" s="229"/>
      <c r="O203" s="229"/>
      <c r="P203" s="229"/>
      <c r="Q203" s="229"/>
      <c r="R203" s="231"/>
      <c r="S203" s="229"/>
      <c r="T203" s="229"/>
      <c r="U203" s="229"/>
      <c r="V203" s="229"/>
      <c r="W203" s="229"/>
      <c r="X203" s="229"/>
      <c r="Y203" s="231"/>
    </row>
    <row r="204" spans="1:25" s="230" customFormat="1" ht="15.6" x14ac:dyDescent="0.3">
      <c r="A204" s="202">
        <v>343</v>
      </c>
      <c r="B204" s="231"/>
      <c r="C204" s="225"/>
      <c r="D204" s="231"/>
      <c r="E204" s="231"/>
      <c r="F204" s="229"/>
      <c r="G204" s="229"/>
      <c r="H204" s="229"/>
      <c r="I204" s="229"/>
      <c r="J204" s="229"/>
      <c r="K204" s="235">
        <f t="shared" si="4"/>
        <v>0</v>
      </c>
      <c r="L204" s="229"/>
      <c r="M204" s="229"/>
      <c r="N204" s="229"/>
      <c r="O204" s="229"/>
      <c r="P204" s="229"/>
      <c r="Q204" s="229"/>
      <c r="R204" s="231"/>
      <c r="S204" s="229"/>
      <c r="T204" s="229"/>
      <c r="U204" s="229"/>
      <c r="V204" s="229"/>
      <c r="W204" s="229"/>
      <c r="X204" s="229"/>
      <c r="Y204" s="231"/>
    </row>
    <row r="205" spans="1:25" s="230" customFormat="1" ht="15.6" x14ac:dyDescent="0.3">
      <c r="A205" s="202">
        <v>344</v>
      </c>
      <c r="B205" s="231"/>
      <c r="C205" s="225"/>
      <c r="D205" s="231"/>
      <c r="E205" s="231"/>
      <c r="F205" s="229"/>
      <c r="G205" s="229"/>
      <c r="H205" s="229"/>
      <c r="I205" s="229"/>
      <c r="J205" s="229"/>
      <c r="K205" s="235">
        <f t="shared" si="4"/>
        <v>0</v>
      </c>
      <c r="L205" s="229"/>
      <c r="M205" s="229"/>
      <c r="N205" s="229"/>
      <c r="O205" s="229"/>
      <c r="P205" s="229"/>
      <c r="Q205" s="229"/>
      <c r="R205" s="231"/>
      <c r="S205" s="229"/>
      <c r="T205" s="229"/>
      <c r="U205" s="229"/>
      <c r="V205" s="229"/>
      <c r="W205" s="229"/>
      <c r="X205" s="229"/>
      <c r="Y205" s="231"/>
    </row>
    <row r="206" spans="1:25" s="230" customFormat="1" ht="15.6" x14ac:dyDescent="0.3">
      <c r="A206" s="202">
        <v>345</v>
      </c>
      <c r="B206" s="231"/>
      <c r="C206" s="225"/>
      <c r="D206" s="231"/>
      <c r="E206" s="231"/>
      <c r="F206" s="229"/>
      <c r="G206" s="229"/>
      <c r="H206" s="229"/>
      <c r="I206" s="229"/>
      <c r="J206" s="229"/>
      <c r="K206" s="235">
        <f t="shared" si="4"/>
        <v>0</v>
      </c>
      <c r="L206" s="229"/>
      <c r="M206" s="229"/>
      <c r="N206" s="229"/>
      <c r="O206" s="229"/>
      <c r="P206" s="229"/>
      <c r="Q206" s="229"/>
      <c r="R206" s="231"/>
      <c r="S206" s="229"/>
      <c r="T206" s="229"/>
      <c r="U206" s="229"/>
      <c r="V206" s="229"/>
      <c r="W206" s="229"/>
      <c r="X206" s="229"/>
      <c r="Y206" s="231"/>
    </row>
    <row r="207" spans="1:25" s="230" customFormat="1" ht="15.6" x14ac:dyDescent="0.3">
      <c r="A207" s="202">
        <v>346</v>
      </c>
      <c r="B207" s="231"/>
      <c r="C207" s="225"/>
      <c r="D207" s="231"/>
      <c r="E207" s="231"/>
      <c r="F207" s="229"/>
      <c r="G207" s="229"/>
      <c r="H207" s="229"/>
      <c r="I207" s="229"/>
      <c r="J207" s="229"/>
      <c r="K207" s="235">
        <f t="shared" si="4"/>
        <v>0</v>
      </c>
      <c r="L207" s="229"/>
      <c r="M207" s="229"/>
      <c r="N207" s="229"/>
      <c r="O207" s="229"/>
      <c r="P207" s="229"/>
      <c r="Q207" s="229"/>
      <c r="R207" s="231"/>
      <c r="S207" s="229"/>
      <c r="T207" s="229"/>
      <c r="U207" s="229"/>
      <c r="V207" s="229"/>
      <c r="W207" s="229"/>
      <c r="X207" s="229"/>
      <c r="Y207" s="231"/>
    </row>
    <row r="208" spans="1:25" s="230" customFormat="1" ht="15.6" x14ac:dyDescent="0.3">
      <c r="A208" s="199" t="s">
        <v>324</v>
      </c>
      <c r="B208" s="231"/>
      <c r="C208" s="225"/>
      <c r="D208" s="231"/>
      <c r="E208" s="231"/>
      <c r="F208" s="229"/>
      <c r="G208" s="229"/>
      <c r="H208" s="229"/>
      <c r="I208" s="229"/>
      <c r="J208" s="229"/>
      <c r="K208" s="235"/>
      <c r="L208" s="229"/>
      <c r="M208" s="229"/>
      <c r="N208" s="229"/>
      <c r="O208" s="229"/>
      <c r="P208" s="229"/>
      <c r="Q208" s="229"/>
      <c r="R208" s="231"/>
      <c r="S208" s="229"/>
      <c r="T208" s="229"/>
      <c r="U208" s="229"/>
      <c r="V208" s="229"/>
      <c r="W208" s="229"/>
      <c r="X208" s="229"/>
      <c r="Y208" s="231"/>
    </row>
    <row r="209" spans="1:25" s="230" customFormat="1" ht="15.6" x14ac:dyDescent="0.3">
      <c r="A209" s="202">
        <v>401</v>
      </c>
      <c r="B209" s="203" t="s">
        <v>32</v>
      </c>
      <c r="C209" s="226"/>
      <c r="D209" s="207">
        <v>90</v>
      </c>
      <c r="E209" s="207">
        <v>57</v>
      </c>
      <c r="F209" s="207">
        <v>27</v>
      </c>
      <c r="G209" s="207">
        <v>17</v>
      </c>
      <c r="H209" s="207">
        <v>2.62</v>
      </c>
      <c r="I209" s="207">
        <v>1.45</v>
      </c>
      <c r="J209" s="207">
        <v>0.28000000000000003</v>
      </c>
      <c r="K209" s="235">
        <f t="shared" si="4"/>
        <v>0</v>
      </c>
      <c r="L209" s="207">
        <v>0.17</v>
      </c>
      <c r="M209" s="207">
        <v>0.25</v>
      </c>
      <c r="N209" s="207">
        <v>0.17</v>
      </c>
      <c r="O209" s="207">
        <v>8</v>
      </c>
      <c r="P209" s="207">
        <v>268</v>
      </c>
      <c r="Q209" s="207">
        <v>36</v>
      </c>
      <c r="R209" s="207">
        <v>0.28000000000000003</v>
      </c>
      <c r="S209" s="207">
        <v>23</v>
      </c>
      <c r="T209" s="207">
        <v>52.6</v>
      </c>
      <c r="U209" s="207">
        <v>3</v>
      </c>
      <c r="V209" s="207">
        <v>26.2</v>
      </c>
      <c r="W209" s="207">
        <v>34</v>
      </c>
      <c r="X209" s="207">
        <v>45</v>
      </c>
      <c r="Y209" s="207">
        <v>6</v>
      </c>
    </row>
    <row r="210" spans="1:25" s="230" customFormat="1" ht="15.6" x14ac:dyDescent="0.3">
      <c r="A210" s="202">
        <v>402</v>
      </c>
      <c r="B210" s="204" t="s">
        <v>325</v>
      </c>
      <c r="C210" s="225"/>
      <c r="D210" s="207">
        <v>89.14</v>
      </c>
      <c r="E210" s="207">
        <v>58.099999999999994</v>
      </c>
      <c r="F210" s="229">
        <v>32.200000000000003</v>
      </c>
      <c r="G210" s="229">
        <v>5.8959999999999999</v>
      </c>
      <c r="H210" s="229">
        <v>2.4620000000000002</v>
      </c>
      <c r="I210" s="229">
        <v>0.28100000000000003</v>
      </c>
      <c r="J210" s="229">
        <v>0.122</v>
      </c>
      <c r="K210" s="235">
        <f t="shared" si="4"/>
        <v>0</v>
      </c>
      <c r="L210" s="229">
        <v>0.112</v>
      </c>
      <c r="M210" s="229">
        <v>4.4999999999999998E-2</v>
      </c>
      <c r="N210" s="229">
        <v>0</v>
      </c>
      <c r="O210" s="229">
        <v>5.09</v>
      </c>
      <c r="P210" s="229">
        <v>281.32499999999999</v>
      </c>
      <c r="Q210" s="229">
        <v>17.504999999999999</v>
      </c>
      <c r="R210" s="231"/>
      <c r="S210" s="229">
        <v>17.695</v>
      </c>
      <c r="T210" s="229">
        <v>59.962000000000003</v>
      </c>
      <c r="U210" s="229">
        <v>2.9159999999999999</v>
      </c>
      <c r="V210" s="229">
        <v>18.196999999999999</v>
      </c>
      <c r="W210" s="229">
        <v>30.044</v>
      </c>
      <c r="X210" s="229">
        <v>36.015000000000001</v>
      </c>
      <c r="Y210" s="231"/>
    </row>
    <row r="211" spans="1:25" s="230" customFormat="1" ht="15.6" x14ac:dyDescent="0.3">
      <c r="A211" s="202">
        <v>403</v>
      </c>
      <c r="B211" s="204" t="s">
        <v>326</v>
      </c>
      <c r="C211" s="225"/>
      <c r="D211" s="207">
        <v>80.263000000000005</v>
      </c>
      <c r="E211" s="207">
        <v>60.9</v>
      </c>
      <c r="F211" s="229">
        <v>34.599999999999994</v>
      </c>
      <c r="G211" s="229">
        <v>5.9210000000000003</v>
      </c>
      <c r="H211" s="229">
        <v>2.601</v>
      </c>
      <c r="I211" s="229">
        <v>0.28599999999999998</v>
      </c>
      <c r="J211" s="229">
        <v>0.13300000000000001</v>
      </c>
      <c r="K211" s="235">
        <f t="shared" si="4"/>
        <v>0</v>
      </c>
      <c r="L211" s="229">
        <v>0.12</v>
      </c>
      <c r="M211" s="229">
        <v>4.2999999999999997E-2</v>
      </c>
      <c r="N211" s="229">
        <v>0</v>
      </c>
      <c r="O211" s="229">
        <v>4.8890000000000002</v>
      </c>
      <c r="P211" s="229">
        <v>323.791</v>
      </c>
      <c r="Q211" s="229">
        <v>18.849</v>
      </c>
      <c r="R211" s="231"/>
      <c r="S211" s="229">
        <v>16.343</v>
      </c>
      <c r="T211" s="229">
        <v>61.470999999999997</v>
      </c>
      <c r="U211" s="229">
        <v>3.9929999999999999</v>
      </c>
      <c r="V211" s="229">
        <v>17.896000000000001</v>
      </c>
      <c r="W211" s="229">
        <v>28.315999999999999</v>
      </c>
      <c r="X211" s="229">
        <v>33.744</v>
      </c>
      <c r="Y211" s="231"/>
    </row>
    <row r="212" spans="1:25" s="230" customFormat="1" ht="15.6" x14ac:dyDescent="0.3">
      <c r="A212" s="202">
        <v>404</v>
      </c>
      <c r="B212" s="204" t="s">
        <v>327</v>
      </c>
      <c r="C212" s="225"/>
      <c r="D212" s="207">
        <v>20.861000000000001</v>
      </c>
      <c r="E212" s="207">
        <v>66.900000000000006</v>
      </c>
      <c r="F212" s="229">
        <v>40.200000000000003</v>
      </c>
      <c r="G212" s="229">
        <v>6.8979999999999997</v>
      </c>
      <c r="H212" s="229">
        <v>0.76200000000000001</v>
      </c>
      <c r="I212" s="229">
        <v>0.17599999999999999</v>
      </c>
      <c r="J212" s="229">
        <v>0.14599999999999999</v>
      </c>
      <c r="K212" s="235">
        <f t="shared" si="4"/>
        <v>0</v>
      </c>
      <c r="L212" s="229">
        <v>0.09</v>
      </c>
      <c r="M212" s="229">
        <v>7.2999999999999995E-2</v>
      </c>
      <c r="N212" s="229">
        <v>0</v>
      </c>
      <c r="O212" s="229">
        <v>9.7469999999999999</v>
      </c>
      <c r="P212" s="229">
        <v>259.45600000000002</v>
      </c>
      <c r="Q212" s="229">
        <v>14.609</v>
      </c>
      <c r="R212" s="231"/>
      <c r="S212" s="229">
        <v>9.9499999999999993</v>
      </c>
      <c r="T212" s="229">
        <v>65.694000000000003</v>
      </c>
      <c r="U212" s="229">
        <v>6.7590000000000003</v>
      </c>
      <c r="V212" s="229">
        <v>0</v>
      </c>
      <c r="W212" s="229">
        <v>40.357999999999997</v>
      </c>
      <c r="X212" s="229">
        <v>47.673999999999999</v>
      </c>
      <c r="Y212" s="231"/>
    </row>
    <row r="213" spans="1:25" s="230" customFormat="1" ht="15.6" x14ac:dyDescent="0.3">
      <c r="A213" s="202">
        <v>405</v>
      </c>
      <c r="B213" s="204" t="s">
        <v>328</v>
      </c>
      <c r="C213" s="225"/>
      <c r="D213" s="207">
        <v>91.64</v>
      </c>
      <c r="E213" s="207">
        <v>65.5</v>
      </c>
      <c r="F213" s="229">
        <v>38.9</v>
      </c>
      <c r="G213" s="229">
        <v>9.4239999999999995</v>
      </c>
      <c r="H213" s="229">
        <v>0.76</v>
      </c>
      <c r="I213" s="229">
        <v>0.94199999999999995</v>
      </c>
      <c r="J213" s="229">
        <v>8.3000000000000004E-2</v>
      </c>
      <c r="K213" s="235">
        <f t="shared" si="4"/>
        <v>0</v>
      </c>
      <c r="L213" s="229">
        <v>0.23</v>
      </c>
      <c r="M213" s="229">
        <v>0.28599999999999998</v>
      </c>
      <c r="N213" s="229">
        <v>1.0149999999999999</v>
      </c>
      <c r="O213" s="229">
        <v>8.6890000000000001</v>
      </c>
      <c r="P213" s="229">
        <v>617.37599999999998</v>
      </c>
      <c r="Q213" s="229">
        <v>60.911999999999999</v>
      </c>
      <c r="R213" s="231"/>
      <c r="S213" s="229">
        <v>23.242999999999999</v>
      </c>
      <c r="T213" s="229">
        <v>65.721999999999994</v>
      </c>
      <c r="U213" s="229">
        <v>1.34</v>
      </c>
      <c r="V213" s="229">
        <v>18.664999999999999</v>
      </c>
      <c r="W213" s="229">
        <v>26.018000000000001</v>
      </c>
      <c r="X213" s="229">
        <v>41.725999999999999</v>
      </c>
      <c r="Y213" s="231"/>
    </row>
    <row r="214" spans="1:25" s="230" customFormat="1" ht="15.6" x14ac:dyDescent="0.3">
      <c r="A214" s="202">
        <v>406</v>
      </c>
      <c r="B214" s="204" t="s">
        <v>329</v>
      </c>
      <c r="C214" s="225"/>
      <c r="D214" s="207">
        <v>23.334</v>
      </c>
      <c r="E214" s="207">
        <v>61.4</v>
      </c>
      <c r="F214" s="229">
        <v>35.199999999999996</v>
      </c>
      <c r="G214" s="229">
        <v>9.9109999999999996</v>
      </c>
      <c r="H214" s="229">
        <v>0.64800000000000002</v>
      </c>
      <c r="I214" s="229">
        <v>1.0649999999999999</v>
      </c>
      <c r="J214" s="229">
        <v>0.10100000000000001</v>
      </c>
      <c r="K214" s="235">
        <f t="shared" si="4"/>
        <v>0</v>
      </c>
      <c r="L214" s="229">
        <v>0.246</v>
      </c>
      <c r="M214" s="229">
        <v>0.21099999999999999</v>
      </c>
      <c r="N214" s="229">
        <v>0</v>
      </c>
      <c r="O214" s="229">
        <v>9.8650000000000002</v>
      </c>
      <c r="P214" s="229">
        <v>771.56200000000001</v>
      </c>
      <c r="Q214" s="229">
        <v>57.57</v>
      </c>
      <c r="R214" s="231"/>
      <c r="S214" s="229">
        <v>24.302</v>
      </c>
      <c r="T214" s="229">
        <v>63.26</v>
      </c>
      <c r="U214" s="229">
        <v>1.0580000000000001</v>
      </c>
      <c r="V214" s="229">
        <v>17.061</v>
      </c>
      <c r="W214" s="229">
        <v>27.5</v>
      </c>
      <c r="X214" s="229">
        <v>48.051000000000002</v>
      </c>
      <c r="Y214" s="231"/>
    </row>
    <row r="215" spans="1:25" s="230" customFormat="1" ht="15.6" x14ac:dyDescent="0.3">
      <c r="A215" s="202">
        <v>407</v>
      </c>
      <c r="B215" s="204" t="s">
        <v>330</v>
      </c>
      <c r="C215" s="225"/>
      <c r="D215" s="207">
        <v>87.531000000000006</v>
      </c>
      <c r="E215" s="207">
        <v>74.5</v>
      </c>
      <c r="F215" s="229">
        <v>46.9</v>
      </c>
      <c r="G215" s="229">
        <v>7.0460000000000003</v>
      </c>
      <c r="H215" s="229">
        <v>1.006</v>
      </c>
      <c r="I215" s="229">
        <v>1.8819999999999999</v>
      </c>
      <c r="J215" s="229">
        <v>0.11600000000000001</v>
      </c>
      <c r="K215" s="235">
        <f t="shared" si="4"/>
        <v>0</v>
      </c>
      <c r="L215" s="229">
        <v>0.129</v>
      </c>
      <c r="M215" s="229">
        <v>0.1</v>
      </c>
      <c r="N215" s="229">
        <v>0.26</v>
      </c>
      <c r="O215" s="229">
        <v>5.8540000000000001</v>
      </c>
      <c r="P215" s="229">
        <v>135.904</v>
      </c>
      <c r="Q215" s="229">
        <v>12.634</v>
      </c>
      <c r="R215" s="231"/>
      <c r="S215" s="229">
        <v>10.760999999999999</v>
      </c>
      <c r="T215" s="229">
        <v>70.260000000000005</v>
      </c>
      <c r="U215" s="229">
        <v>2.6309999999999998</v>
      </c>
      <c r="V215" s="229">
        <v>14.909000000000001</v>
      </c>
      <c r="W215" s="229">
        <v>20.154</v>
      </c>
      <c r="X215" s="229">
        <v>24.28</v>
      </c>
      <c r="Y215" s="231"/>
    </row>
    <row r="216" spans="1:25" s="230" customFormat="1" ht="15.6" x14ac:dyDescent="0.3">
      <c r="A216" s="202">
        <v>408</v>
      </c>
      <c r="B216" s="204" t="s">
        <v>331</v>
      </c>
      <c r="C216" s="225"/>
      <c r="D216" s="207">
        <v>92.671999999999997</v>
      </c>
      <c r="E216" s="207">
        <v>55.7</v>
      </c>
      <c r="F216" s="229">
        <v>29.599999999999998</v>
      </c>
      <c r="G216" s="229">
        <v>5.37</v>
      </c>
      <c r="H216" s="229">
        <v>0.79600000000000004</v>
      </c>
      <c r="I216" s="229">
        <v>0.151</v>
      </c>
      <c r="J216" s="229">
        <v>0.13600000000000001</v>
      </c>
      <c r="K216" s="235">
        <f t="shared" si="4"/>
        <v>0</v>
      </c>
      <c r="L216" s="229">
        <v>9.1999999999999998E-2</v>
      </c>
      <c r="M216" s="229">
        <v>0.09</v>
      </c>
      <c r="N216" s="229">
        <v>0</v>
      </c>
      <c r="O216" s="229">
        <v>6.835</v>
      </c>
      <c r="P216" s="229">
        <v>463.57400000000001</v>
      </c>
      <c r="Q216" s="229">
        <v>21.370999999999999</v>
      </c>
      <c r="R216" s="231"/>
      <c r="S216" s="229">
        <v>26.738</v>
      </c>
      <c r="T216" s="229">
        <v>61.433</v>
      </c>
      <c r="U216" s="229">
        <v>1.869</v>
      </c>
      <c r="V216" s="229">
        <v>33.920999999999999</v>
      </c>
      <c r="W216" s="229">
        <v>34.975999999999999</v>
      </c>
      <c r="X216" s="229">
        <v>65.052000000000007</v>
      </c>
      <c r="Y216" s="231"/>
    </row>
    <row r="217" spans="1:25" s="230" customFormat="1" ht="15.6" x14ac:dyDescent="0.3">
      <c r="A217" s="202">
        <v>409</v>
      </c>
      <c r="B217" s="204" t="s">
        <v>332</v>
      </c>
      <c r="C217" s="225"/>
      <c r="D217" s="207">
        <v>66.058999999999997</v>
      </c>
      <c r="E217" s="207">
        <v>50.8</v>
      </c>
      <c r="F217" s="229">
        <v>25.4</v>
      </c>
      <c r="G217" s="229">
        <v>4.1349999999999998</v>
      </c>
      <c r="H217" s="229">
        <v>0.97499999999999998</v>
      </c>
      <c r="I217" s="229">
        <v>0.113</v>
      </c>
      <c r="J217" s="229">
        <v>7.9000000000000001E-2</v>
      </c>
      <c r="K217" s="235">
        <f t="shared" si="4"/>
        <v>0</v>
      </c>
      <c r="L217" s="229">
        <v>4.8000000000000001E-2</v>
      </c>
      <c r="M217" s="229">
        <v>4.5999999999999999E-2</v>
      </c>
      <c r="N217" s="229">
        <v>0</v>
      </c>
      <c r="O217" s="229">
        <v>6.5709999999999997</v>
      </c>
      <c r="P217" s="229">
        <v>168.72</v>
      </c>
      <c r="Q217" s="229">
        <v>8.9870000000000001</v>
      </c>
      <c r="R217" s="231"/>
      <c r="S217" s="229">
        <v>25.428999999999998</v>
      </c>
      <c r="T217" s="229">
        <v>59.408000000000001</v>
      </c>
      <c r="U217" s="229">
        <v>0.66100000000000003</v>
      </c>
      <c r="V217" s="229">
        <v>34.899000000000001</v>
      </c>
      <c r="W217" s="229">
        <v>44.390999999999998</v>
      </c>
      <c r="X217" s="229">
        <v>79.840999999999994</v>
      </c>
      <c r="Y217" s="231"/>
    </row>
    <row r="218" spans="1:25" s="230" customFormat="1" ht="15.6" x14ac:dyDescent="0.3">
      <c r="A218" s="202">
        <v>410</v>
      </c>
      <c r="B218" s="203" t="s">
        <v>19</v>
      </c>
      <c r="C218" s="226"/>
      <c r="D218" s="207">
        <v>92</v>
      </c>
      <c r="E218" s="207">
        <v>34.090000000000003</v>
      </c>
      <c r="F218" s="207">
        <v>10</v>
      </c>
      <c r="G218" s="207">
        <v>11</v>
      </c>
      <c r="H218" s="207">
        <v>2.73</v>
      </c>
      <c r="I218" s="207">
        <v>0.9</v>
      </c>
      <c r="J218" s="207">
        <v>0.12</v>
      </c>
      <c r="K218" s="235">
        <f t="shared" si="4"/>
        <v>0</v>
      </c>
      <c r="L218" s="207">
        <v>0.31</v>
      </c>
      <c r="M218" s="207">
        <v>0.05</v>
      </c>
      <c r="N218" s="207">
        <v>0.75</v>
      </c>
      <c r="O218" s="207">
        <v>9.7899999999999991</v>
      </c>
      <c r="P218" s="207">
        <v>987</v>
      </c>
      <c r="Q218" s="207">
        <v>55</v>
      </c>
      <c r="R218" s="207">
        <v>0.25</v>
      </c>
      <c r="S218" s="207">
        <v>10</v>
      </c>
      <c r="T218" s="207">
        <v>44</v>
      </c>
      <c r="U218" s="207">
        <v>2.7</v>
      </c>
      <c r="V218" s="207">
        <v>34</v>
      </c>
      <c r="W218" s="207">
        <v>51</v>
      </c>
      <c r="X218" s="207">
        <v>70</v>
      </c>
      <c r="Y218" s="207">
        <v>100</v>
      </c>
    </row>
    <row r="219" spans="1:25" s="230" customFormat="1" ht="15.6" x14ac:dyDescent="0.3">
      <c r="A219" s="202">
        <v>411</v>
      </c>
      <c r="B219" s="204" t="s">
        <v>333</v>
      </c>
      <c r="C219" s="225"/>
      <c r="D219" s="207">
        <v>91.210999999999999</v>
      </c>
      <c r="E219" s="207">
        <v>30.5</v>
      </c>
      <c r="F219" s="229">
        <v>8.3000000000000007</v>
      </c>
      <c r="G219" s="229">
        <v>12.363</v>
      </c>
      <c r="H219" s="229">
        <v>1.9370000000000001</v>
      </c>
      <c r="I219" s="229">
        <v>1.486</v>
      </c>
      <c r="J219" s="229">
        <v>0.23200000000000001</v>
      </c>
      <c r="K219" s="235">
        <f t="shared" si="4"/>
        <v>0</v>
      </c>
      <c r="L219" s="229">
        <v>0.308</v>
      </c>
      <c r="M219" s="229">
        <v>0.36899999999999999</v>
      </c>
      <c r="N219" s="229">
        <v>0.75</v>
      </c>
      <c r="O219" s="229">
        <v>9.7880000000000003</v>
      </c>
      <c r="P219" s="229">
        <v>987.53200000000004</v>
      </c>
      <c r="Q219" s="229">
        <v>55.110999999999997</v>
      </c>
      <c r="R219" s="231"/>
      <c r="S219" s="229">
        <v>28.96</v>
      </c>
      <c r="T219" s="229">
        <v>43.317999999999998</v>
      </c>
      <c r="U219" s="229">
        <v>5.3250000000000002</v>
      </c>
      <c r="V219" s="229">
        <v>35.432000000000002</v>
      </c>
      <c r="W219" s="229">
        <v>51.598999999999997</v>
      </c>
      <c r="X219" s="229">
        <v>59.802</v>
      </c>
      <c r="Y219" s="207">
        <v>100</v>
      </c>
    </row>
    <row r="220" spans="1:25" s="230" customFormat="1" ht="15.6" x14ac:dyDescent="0.3">
      <c r="A220" s="202">
        <v>412</v>
      </c>
      <c r="B220" s="204" t="s">
        <v>137</v>
      </c>
      <c r="C220" s="226"/>
      <c r="D220" s="207">
        <v>92</v>
      </c>
      <c r="E220" s="207">
        <v>101.6</v>
      </c>
      <c r="F220" s="207">
        <v>70.3</v>
      </c>
      <c r="G220" s="207">
        <v>26</v>
      </c>
      <c r="H220" s="207">
        <v>1.2</v>
      </c>
      <c r="I220" s="207">
        <v>0.18</v>
      </c>
      <c r="J220" s="207">
        <v>0.64</v>
      </c>
      <c r="K220" s="235">
        <f t="shared" si="4"/>
        <v>0</v>
      </c>
      <c r="L220" s="207">
        <v>0.33</v>
      </c>
      <c r="M220" s="207">
        <v>0.27</v>
      </c>
      <c r="N220" s="207">
        <v>0.17</v>
      </c>
      <c r="O220" s="207">
        <v>10</v>
      </c>
      <c r="P220" s="207">
        <v>70</v>
      </c>
      <c r="Q220" s="207">
        <v>15</v>
      </c>
      <c r="R220" s="207">
        <v>0.25</v>
      </c>
      <c r="S220" s="207">
        <v>45</v>
      </c>
      <c r="T220" s="207">
        <v>90</v>
      </c>
      <c r="U220" s="207">
        <v>21</v>
      </c>
      <c r="V220" s="207">
        <v>45.8</v>
      </c>
      <c r="W220" s="207">
        <v>39</v>
      </c>
      <c r="X220" s="207">
        <v>47</v>
      </c>
      <c r="Y220" s="207">
        <v>100</v>
      </c>
    </row>
    <row r="221" spans="1:25" s="230" customFormat="1" ht="15.6" x14ac:dyDescent="0.3">
      <c r="A221" s="202">
        <v>413</v>
      </c>
      <c r="B221" s="204" t="s">
        <v>334</v>
      </c>
      <c r="C221" s="225"/>
      <c r="D221" s="207">
        <v>90.998000000000005</v>
      </c>
      <c r="E221" s="207">
        <v>14.099999999999998</v>
      </c>
      <c r="F221" s="229">
        <v>2.1999999999999997</v>
      </c>
      <c r="G221" s="229">
        <v>8.1199999999999992</v>
      </c>
      <c r="H221" s="229">
        <v>1.1950000000000001</v>
      </c>
      <c r="I221" s="229">
        <v>0.35299999999999998</v>
      </c>
      <c r="J221" s="229">
        <v>0.21</v>
      </c>
      <c r="K221" s="235">
        <f t="shared" si="4"/>
        <v>0</v>
      </c>
      <c r="L221" s="229">
        <v>0.221</v>
      </c>
      <c r="M221" s="229">
        <v>0.12</v>
      </c>
      <c r="N221" s="229">
        <v>0</v>
      </c>
      <c r="O221" s="229">
        <v>5.2770000000000001</v>
      </c>
      <c r="P221" s="229">
        <v>130.79400000000001</v>
      </c>
      <c r="Q221" s="229">
        <v>28.1</v>
      </c>
      <c r="R221" s="207">
        <v>0.3</v>
      </c>
      <c r="S221" s="229">
        <v>21.702000000000002</v>
      </c>
      <c r="T221" s="229">
        <v>34.633000000000003</v>
      </c>
      <c r="U221" s="229">
        <v>4.3010000000000002</v>
      </c>
      <c r="V221" s="229">
        <v>45.595999999999997</v>
      </c>
      <c r="W221" s="229">
        <v>65.375</v>
      </c>
      <c r="X221" s="229">
        <v>79.381</v>
      </c>
      <c r="Y221" s="207">
        <v>100</v>
      </c>
    </row>
    <row r="222" spans="1:25" s="230" customFormat="1" ht="15.6" x14ac:dyDescent="0.3">
      <c r="A222" s="202">
        <v>414</v>
      </c>
      <c r="B222" s="203" t="s">
        <v>138</v>
      </c>
      <c r="C222" s="226"/>
      <c r="D222" s="207">
        <v>92</v>
      </c>
      <c r="E222" s="207">
        <v>101.6</v>
      </c>
      <c r="F222" s="207">
        <v>70.3</v>
      </c>
      <c r="G222" s="207">
        <v>22.5</v>
      </c>
      <c r="H222" s="207">
        <v>1.1399999999999999</v>
      </c>
      <c r="I222" s="207">
        <v>0.17</v>
      </c>
      <c r="J222" s="207">
        <v>0.52</v>
      </c>
      <c r="K222" s="235">
        <f t="shared" si="4"/>
        <v>0</v>
      </c>
      <c r="L222" s="207">
        <v>0.19</v>
      </c>
      <c r="M222" s="207">
        <v>0.27</v>
      </c>
      <c r="N222" s="207">
        <v>0.17</v>
      </c>
      <c r="O222" s="207">
        <v>9</v>
      </c>
      <c r="P222" s="207">
        <v>83</v>
      </c>
      <c r="Q222" s="207">
        <v>15</v>
      </c>
      <c r="R222" s="207">
        <v>0.25</v>
      </c>
      <c r="S222" s="207">
        <v>37</v>
      </c>
      <c r="T222" s="207">
        <v>90</v>
      </c>
      <c r="U222" s="207">
        <v>18.399999999999999</v>
      </c>
      <c r="V222" s="207">
        <v>52</v>
      </c>
      <c r="W222" s="207">
        <v>39</v>
      </c>
      <c r="X222" s="207">
        <v>47</v>
      </c>
      <c r="Y222" s="207">
        <v>100</v>
      </c>
    </row>
    <row r="223" spans="1:25" s="230" customFormat="1" ht="15.6" x14ac:dyDescent="0.3">
      <c r="A223" s="202">
        <v>415</v>
      </c>
      <c r="B223" s="204" t="s">
        <v>335</v>
      </c>
      <c r="C223" s="225"/>
      <c r="D223" s="207">
        <v>93.323999999999998</v>
      </c>
      <c r="E223" s="207">
        <v>24.2</v>
      </c>
      <c r="F223" s="229">
        <v>5</v>
      </c>
      <c r="G223" s="229">
        <v>10.522</v>
      </c>
      <c r="H223" s="229">
        <v>0.80300000000000005</v>
      </c>
      <c r="I223" s="229">
        <v>0.32600000000000001</v>
      </c>
      <c r="J223" s="229">
        <v>0.126</v>
      </c>
      <c r="K223" s="235">
        <f t="shared" si="4"/>
        <v>0</v>
      </c>
      <c r="L223" s="229">
        <v>0.16400000000000001</v>
      </c>
      <c r="M223" s="229">
        <v>0.105</v>
      </c>
      <c r="N223" s="229">
        <v>3.1269999999999998</v>
      </c>
      <c r="O223" s="229">
        <v>13.433999999999999</v>
      </c>
      <c r="P223" s="229">
        <v>586.505</v>
      </c>
      <c r="Q223" s="229">
        <v>44.968000000000004</v>
      </c>
      <c r="R223" s="231"/>
      <c r="S223" s="229">
        <v>21.417999999999999</v>
      </c>
      <c r="T223" s="229">
        <v>39.334000000000003</v>
      </c>
      <c r="U223" s="229">
        <v>5.25</v>
      </c>
      <c r="V223" s="229">
        <v>52.731000000000002</v>
      </c>
      <c r="W223" s="229">
        <v>53.92</v>
      </c>
      <c r="X223" s="229">
        <v>64.745999999999995</v>
      </c>
      <c r="Y223" s="207">
        <v>98</v>
      </c>
    </row>
    <row r="224" spans="1:25" s="230" customFormat="1" ht="15.6" x14ac:dyDescent="0.3">
      <c r="A224" s="202">
        <v>416</v>
      </c>
      <c r="B224" s="204" t="s">
        <v>336</v>
      </c>
      <c r="C224" s="225"/>
      <c r="D224" s="207">
        <v>93.635999999999996</v>
      </c>
      <c r="E224" s="207">
        <v>53.1</v>
      </c>
      <c r="F224" s="229">
        <v>28.9</v>
      </c>
      <c r="G224" s="229">
        <v>24.867000000000001</v>
      </c>
      <c r="H224" s="229">
        <v>2.35</v>
      </c>
      <c r="I224" s="229">
        <v>2.5569999999999999</v>
      </c>
      <c r="J224" s="229">
        <v>1.444</v>
      </c>
      <c r="K224" s="235">
        <f t="shared" si="4"/>
        <v>0</v>
      </c>
      <c r="L224" s="229">
        <v>0.59799999999999998</v>
      </c>
      <c r="M224" s="229">
        <v>0.52100000000000002</v>
      </c>
      <c r="N224" s="229">
        <v>0</v>
      </c>
      <c r="O224" s="229">
        <v>291.08199999999999</v>
      </c>
      <c r="P224" s="229">
        <v>1983.162</v>
      </c>
      <c r="Q224" s="229">
        <v>420.99</v>
      </c>
      <c r="R224" s="231"/>
      <c r="S224" s="229">
        <v>480.13499999999999</v>
      </c>
      <c r="T224" s="229">
        <v>57.113999999999997</v>
      </c>
      <c r="U224" s="229">
        <v>2.4790000000000001</v>
      </c>
      <c r="V224" s="229">
        <v>15.512</v>
      </c>
      <c r="W224" s="229">
        <v>25.648</v>
      </c>
      <c r="X224" s="229">
        <v>38.079000000000001</v>
      </c>
      <c r="Y224" s="231"/>
    </row>
    <row r="225" spans="1:25" s="230" customFormat="1" ht="15.6" x14ac:dyDescent="0.3">
      <c r="A225" s="202">
        <v>417</v>
      </c>
      <c r="B225" s="203" t="s">
        <v>36</v>
      </c>
      <c r="C225" s="226"/>
      <c r="D225" s="207">
        <v>91</v>
      </c>
      <c r="E225" s="207">
        <v>74.090909089999997</v>
      </c>
      <c r="F225" s="207">
        <v>46.818181000000003</v>
      </c>
      <c r="G225" s="207">
        <v>14.1</v>
      </c>
      <c r="H225" s="207">
        <v>1.92</v>
      </c>
      <c r="I225" s="207">
        <v>0.08</v>
      </c>
      <c r="J225" s="207">
        <v>1.7</v>
      </c>
      <c r="K225" s="235">
        <f t="shared" si="4"/>
        <v>0</v>
      </c>
      <c r="L225" s="207">
        <v>1.04</v>
      </c>
      <c r="M225" s="207">
        <v>0.2</v>
      </c>
      <c r="N225" s="207">
        <v>0.05</v>
      </c>
      <c r="O225" s="207">
        <v>3</v>
      </c>
      <c r="P225" s="207">
        <v>210</v>
      </c>
      <c r="Q225" s="207">
        <v>415</v>
      </c>
      <c r="R225" s="207">
        <v>0.44</v>
      </c>
      <c r="S225" s="207">
        <v>32</v>
      </c>
      <c r="T225" s="207">
        <v>70</v>
      </c>
      <c r="U225" s="207">
        <v>15.1</v>
      </c>
      <c r="V225" s="207">
        <v>12.8</v>
      </c>
      <c r="W225" s="207">
        <v>18</v>
      </c>
      <c r="X225" s="207">
        <v>23</v>
      </c>
      <c r="Y225" s="207">
        <v>0</v>
      </c>
    </row>
    <row r="226" spans="1:25" s="230" customFormat="1" ht="15.6" x14ac:dyDescent="0.3">
      <c r="A226" s="202">
        <v>418</v>
      </c>
      <c r="B226" s="204" t="s">
        <v>337</v>
      </c>
      <c r="C226" s="225"/>
      <c r="D226" s="207">
        <v>91.957999999999998</v>
      </c>
      <c r="E226" s="207">
        <v>68</v>
      </c>
      <c r="F226" s="229">
        <v>40.9</v>
      </c>
      <c r="G226" s="229">
        <v>7.7750000000000004</v>
      </c>
      <c r="H226" s="229">
        <v>0.438</v>
      </c>
      <c r="I226" s="229">
        <v>0.107</v>
      </c>
      <c r="J226" s="229">
        <v>0.27200000000000002</v>
      </c>
      <c r="K226" s="235">
        <f t="shared" si="4"/>
        <v>0</v>
      </c>
      <c r="L226" s="229">
        <v>0.128</v>
      </c>
      <c r="M226" s="229">
        <v>7.6999999999999999E-2</v>
      </c>
      <c r="N226" s="229">
        <v>0</v>
      </c>
      <c r="O226" s="229">
        <v>15.942</v>
      </c>
      <c r="P226" s="229">
        <v>395.45</v>
      </c>
      <c r="Q226" s="229">
        <v>225.98699999999999</v>
      </c>
      <c r="R226" s="231"/>
      <c r="S226" s="229">
        <v>41.197000000000003</v>
      </c>
      <c r="T226" s="229">
        <v>68.233000000000004</v>
      </c>
      <c r="U226" s="229">
        <v>3.7</v>
      </c>
      <c r="V226" s="229">
        <v>21.78</v>
      </c>
      <c r="W226" s="229">
        <v>45.088000000000001</v>
      </c>
      <c r="X226" s="229">
        <v>51.533000000000001</v>
      </c>
      <c r="Y226" s="231"/>
    </row>
    <row r="227" spans="1:25" s="230" customFormat="1" ht="15.6" x14ac:dyDescent="0.3">
      <c r="A227" s="202">
        <v>419</v>
      </c>
      <c r="B227" s="203" t="s">
        <v>37</v>
      </c>
      <c r="C227" s="226"/>
      <c r="D227" s="207">
        <v>90</v>
      </c>
      <c r="E227" s="207">
        <v>4</v>
      </c>
      <c r="F227" s="207">
        <v>2</v>
      </c>
      <c r="G227" s="207">
        <v>3.3</v>
      </c>
      <c r="H227" s="207">
        <v>0.56999999999999995</v>
      </c>
      <c r="I227" s="207">
        <v>0.1</v>
      </c>
      <c r="J227" s="207">
        <v>0.08</v>
      </c>
      <c r="K227" s="235">
        <f t="shared" si="4"/>
        <v>0</v>
      </c>
      <c r="L227" s="207">
        <v>0.83</v>
      </c>
      <c r="M227" s="207">
        <v>0.09</v>
      </c>
      <c r="N227" s="207"/>
      <c r="O227" s="207"/>
      <c r="P227" s="207"/>
      <c r="Q227" s="207">
        <v>334</v>
      </c>
      <c r="R227" s="207"/>
      <c r="S227" s="207"/>
      <c r="T227" s="207">
        <v>12</v>
      </c>
      <c r="U227" s="207">
        <v>0.08</v>
      </c>
      <c r="V227" s="207">
        <v>42.9</v>
      </c>
      <c r="W227" s="207">
        <v>70</v>
      </c>
      <c r="X227" s="207">
        <v>81</v>
      </c>
      <c r="Y227" s="207">
        <v>90</v>
      </c>
    </row>
    <row r="228" spans="1:25" s="230" customFormat="1" ht="15.6" x14ac:dyDescent="0.3">
      <c r="A228" s="202">
        <v>420</v>
      </c>
      <c r="B228" s="203" t="s">
        <v>38</v>
      </c>
      <c r="C228" s="226"/>
      <c r="D228" s="207">
        <v>91.2</v>
      </c>
      <c r="E228" s="207">
        <v>25</v>
      </c>
      <c r="F228" s="207">
        <v>0</v>
      </c>
      <c r="G228" s="207">
        <v>6.7</v>
      </c>
      <c r="H228" s="207">
        <v>0.34</v>
      </c>
      <c r="I228" s="207">
        <v>0.09</v>
      </c>
      <c r="J228" s="207">
        <v>0.08</v>
      </c>
      <c r="K228" s="235">
        <f t="shared" si="4"/>
        <v>0</v>
      </c>
      <c r="L228" s="207"/>
      <c r="M228" s="207"/>
      <c r="N228" s="207"/>
      <c r="O228" s="207"/>
      <c r="P228" s="207"/>
      <c r="Q228" s="207"/>
      <c r="R228" s="207"/>
      <c r="S228" s="207"/>
      <c r="T228" s="207">
        <v>33</v>
      </c>
      <c r="U228" s="207">
        <v>5.6</v>
      </c>
      <c r="V228" s="207">
        <v>33</v>
      </c>
      <c r="W228" s="207">
        <v>48</v>
      </c>
      <c r="X228" s="207">
        <v>60</v>
      </c>
      <c r="Y228" s="207">
        <v>0</v>
      </c>
    </row>
    <row r="229" spans="1:25" s="230" customFormat="1" ht="15.6" x14ac:dyDescent="0.3">
      <c r="A229" s="202">
        <v>421</v>
      </c>
      <c r="B229" s="203"/>
      <c r="C229" s="226"/>
      <c r="D229" s="207"/>
      <c r="E229" s="207"/>
      <c r="F229" s="207"/>
      <c r="G229" s="207"/>
      <c r="H229" s="207"/>
      <c r="I229" s="207"/>
      <c r="J229" s="207"/>
      <c r="K229" s="235">
        <f t="shared" si="4"/>
        <v>0</v>
      </c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</row>
    <row r="230" spans="1:25" s="230" customFormat="1" ht="15.6" x14ac:dyDescent="0.3">
      <c r="A230" s="202">
        <v>422</v>
      </c>
      <c r="B230" s="203"/>
      <c r="C230" s="226"/>
      <c r="D230" s="207"/>
      <c r="E230" s="207"/>
      <c r="F230" s="207"/>
      <c r="G230" s="207"/>
      <c r="H230" s="207"/>
      <c r="I230" s="207"/>
      <c r="J230" s="207"/>
      <c r="K230" s="235">
        <f t="shared" si="4"/>
        <v>0</v>
      </c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</row>
    <row r="231" spans="1:25" s="230" customFormat="1" ht="15.6" x14ac:dyDescent="0.3">
      <c r="A231" s="202">
        <v>423</v>
      </c>
      <c r="B231" s="203"/>
      <c r="C231" s="226"/>
      <c r="D231" s="207"/>
      <c r="E231" s="207"/>
      <c r="F231" s="207"/>
      <c r="G231" s="207"/>
      <c r="H231" s="207"/>
      <c r="I231" s="207"/>
      <c r="J231" s="207"/>
      <c r="K231" s="235">
        <f t="shared" si="4"/>
        <v>0</v>
      </c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</row>
    <row r="232" spans="1:25" s="230" customFormat="1" ht="15.6" x14ac:dyDescent="0.3">
      <c r="A232" s="202">
        <v>424</v>
      </c>
      <c r="B232" s="203"/>
      <c r="C232" s="226"/>
      <c r="D232" s="207"/>
      <c r="E232" s="207"/>
      <c r="F232" s="207"/>
      <c r="G232" s="207"/>
      <c r="H232" s="207"/>
      <c r="I232" s="207"/>
      <c r="J232" s="207"/>
      <c r="K232" s="235">
        <f t="shared" si="4"/>
        <v>0</v>
      </c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</row>
    <row r="233" spans="1:25" s="230" customFormat="1" ht="15.6" x14ac:dyDescent="0.3">
      <c r="A233" s="202">
        <v>425</v>
      </c>
      <c r="B233" s="203"/>
      <c r="C233" s="226"/>
      <c r="D233" s="207"/>
      <c r="E233" s="207"/>
      <c r="F233" s="207"/>
      <c r="G233" s="207"/>
      <c r="H233" s="207"/>
      <c r="I233" s="207"/>
      <c r="J233" s="207"/>
      <c r="K233" s="235">
        <f t="shared" si="4"/>
        <v>0</v>
      </c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207"/>
    </row>
    <row r="234" spans="1:25" s="230" customFormat="1" ht="15.6" x14ac:dyDescent="0.3">
      <c r="A234" s="202">
        <v>426</v>
      </c>
      <c r="B234" s="203"/>
      <c r="C234" s="226"/>
      <c r="D234" s="207"/>
      <c r="E234" s="207"/>
      <c r="F234" s="207"/>
      <c r="G234" s="207"/>
      <c r="H234" s="207"/>
      <c r="I234" s="207"/>
      <c r="J234" s="207"/>
      <c r="K234" s="235">
        <f t="shared" si="4"/>
        <v>0</v>
      </c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</row>
    <row r="235" spans="1:25" s="230" customFormat="1" ht="15.6" x14ac:dyDescent="0.3">
      <c r="A235" s="202">
        <v>427</v>
      </c>
      <c r="B235" s="203"/>
      <c r="C235" s="226"/>
      <c r="D235" s="207"/>
      <c r="E235" s="207"/>
      <c r="F235" s="207"/>
      <c r="G235" s="207"/>
      <c r="H235" s="207"/>
      <c r="I235" s="207"/>
      <c r="J235" s="207"/>
      <c r="K235" s="235">
        <f t="shared" si="4"/>
        <v>0</v>
      </c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</row>
    <row r="236" spans="1:25" s="230" customFormat="1" ht="15.6" x14ac:dyDescent="0.3">
      <c r="A236" s="202">
        <v>428</v>
      </c>
      <c r="B236" s="203"/>
      <c r="C236" s="226"/>
      <c r="D236" s="207"/>
      <c r="E236" s="207"/>
      <c r="F236" s="207"/>
      <c r="G236" s="207"/>
      <c r="H236" s="207"/>
      <c r="I236" s="207"/>
      <c r="J236" s="207"/>
      <c r="K236" s="235">
        <f t="shared" si="4"/>
        <v>0</v>
      </c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</row>
    <row r="237" spans="1:25" s="230" customFormat="1" ht="15.6" x14ac:dyDescent="0.3">
      <c r="A237" s="202">
        <v>429</v>
      </c>
      <c r="B237" s="203"/>
      <c r="C237" s="226"/>
      <c r="D237" s="207"/>
      <c r="E237" s="207"/>
      <c r="F237" s="207"/>
      <c r="G237" s="207"/>
      <c r="H237" s="207"/>
      <c r="I237" s="207"/>
      <c r="J237" s="207"/>
      <c r="K237" s="235">
        <f t="shared" si="4"/>
        <v>0</v>
      </c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</row>
    <row r="238" spans="1:25" s="230" customFormat="1" ht="15.6" x14ac:dyDescent="0.3">
      <c r="A238" s="202">
        <v>430</v>
      </c>
      <c r="B238" s="203"/>
      <c r="C238" s="226"/>
      <c r="D238" s="207"/>
      <c r="E238" s="207"/>
      <c r="F238" s="207"/>
      <c r="G238" s="207"/>
      <c r="H238" s="207"/>
      <c r="I238" s="207"/>
      <c r="J238" s="207"/>
      <c r="K238" s="235">
        <f t="shared" si="4"/>
        <v>0</v>
      </c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07"/>
    </row>
    <row r="239" spans="1:25" s="230" customFormat="1" ht="15.6" x14ac:dyDescent="0.3">
      <c r="A239" s="199" t="s">
        <v>338</v>
      </c>
      <c r="B239" s="231"/>
      <c r="C239" s="225"/>
      <c r="D239" s="231"/>
      <c r="E239" s="231"/>
      <c r="F239" s="229"/>
      <c r="G239" s="229"/>
      <c r="H239" s="229"/>
      <c r="I239" s="229"/>
      <c r="J239" s="229"/>
      <c r="K239" s="235"/>
      <c r="L239" s="229"/>
      <c r="M239" s="229"/>
      <c r="N239" s="229"/>
      <c r="O239" s="229"/>
      <c r="P239" s="229"/>
      <c r="Q239" s="231"/>
      <c r="R239" s="229"/>
      <c r="S239" s="229"/>
      <c r="T239" s="229"/>
      <c r="U239" s="229"/>
      <c r="V239" s="229"/>
      <c r="W239" s="229"/>
      <c r="X239" s="231"/>
      <c r="Y239" s="231"/>
    </row>
    <row r="240" spans="1:25" s="230" customFormat="1" ht="15.6" x14ac:dyDescent="0.3">
      <c r="A240" s="202">
        <v>501</v>
      </c>
      <c r="B240" s="203" t="s">
        <v>140</v>
      </c>
      <c r="C240" s="226"/>
      <c r="D240" s="207">
        <v>91</v>
      </c>
      <c r="E240" s="207">
        <v>71</v>
      </c>
      <c r="F240" s="207">
        <v>44</v>
      </c>
      <c r="G240" s="207">
        <v>18.3</v>
      </c>
      <c r="H240" s="207">
        <v>1.2</v>
      </c>
      <c r="I240" s="207">
        <v>0.21</v>
      </c>
      <c r="J240" s="207">
        <v>0.59</v>
      </c>
      <c r="K240" s="235">
        <f t="shared" si="4"/>
        <v>0</v>
      </c>
      <c r="L240" s="207">
        <v>0.25</v>
      </c>
      <c r="M240" s="207">
        <v>0.32</v>
      </c>
      <c r="N240" s="207"/>
      <c r="O240" s="207">
        <v>10</v>
      </c>
      <c r="P240" s="207">
        <v>150</v>
      </c>
      <c r="Q240" s="207">
        <v>44</v>
      </c>
      <c r="R240" s="207">
        <v>0.25</v>
      </c>
      <c r="S240" s="207">
        <v>61</v>
      </c>
      <c r="T240" s="207">
        <v>68</v>
      </c>
      <c r="U240" s="207">
        <v>2.5</v>
      </c>
      <c r="V240" s="207"/>
      <c r="W240" s="207"/>
      <c r="X240" s="207">
        <v>50</v>
      </c>
      <c r="Y240" s="207">
        <v>34</v>
      </c>
    </row>
    <row r="241" spans="1:25" s="230" customFormat="1" ht="15.6" x14ac:dyDescent="0.3">
      <c r="A241" s="202">
        <v>502</v>
      </c>
      <c r="B241" s="232" t="s">
        <v>339</v>
      </c>
      <c r="C241" s="225"/>
      <c r="D241" s="207">
        <v>89.637</v>
      </c>
      <c r="E241" s="207">
        <v>89</v>
      </c>
      <c r="F241" s="229">
        <v>59.599999999999994</v>
      </c>
      <c r="G241" s="229">
        <v>12.057</v>
      </c>
      <c r="H241" s="229">
        <v>0.56000000000000005</v>
      </c>
      <c r="I241" s="229">
        <v>0.10199999999999999</v>
      </c>
      <c r="J241" s="229">
        <v>0.39800000000000002</v>
      </c>
      <c r="K241" s="235">
        <f t="shared" si="4"/>
        <v>0</v>
      </c>
      <c r="L241" s="229">
        <v>0.13800000000000001</v>
      </c>
      <c r="M241" s="229">
        <v>0.14099999999999999</v>
      </c>
      <c r="N241" s="229">
        <v>0.14799999999999999</v>
      </c>
      <c r="O241" s="229">
        <v>6.0270000000000001</v>
      </c>
      <c r="P241" s="229">
        <v>95.244</v>
      </c>
      <c r="Q241" s="229">
        <v>20.46</v>
      </c>
      <c r="R241" s="207">
        <v>0.22</v>
      </c>
      <c r="S241" s="229">
        <v>32.048999999999999</v>
      </c>
      <c r="T241" s="229">
        <v>80.741</v>
      </c>
      <c r="U241" s="229">
        <v>2.4049999999999998</v>
      </c>
      <c r="V241" s="229">
        <v>5.8019999999999996</v>
      </c>
      <c r="W241" s="229">
        <v>7.6029999999999998</v>
      </c>
      <c r="X241" s="229">
        <v>19.167999999999999</v>
      </c>
      <c r="Y241" s="207">
        <v>34</v>
      </c>
    </row>
    <row r="242" spans="1:25" s="230" customFormat="1" ht="15.6" x14ac:dyDescent="0.3">
      <c r="A242" s="202">
        <v>503</v>
      </c>
      <c r="B242" s="204" t="s">
        <v>340</v>
      </c>
      <c r="C242" s="225"/>
      <c r="D242" s="207">
        <v>89.991</v>
      </c>
      <c r="E242" s="207">
        <v>83.1</v>
      </c>
      <c r="F242" s="229">
        <v>54.400000000000006</v>
      </c>
      <c r="G242" s="229">
        <v>27.731999999999999</v>
      </c>
      <c r="H242" s="229">
        <v>1.4059999999999999</v>
      </c>
      <c r="I242" s="229">
        <v>0.317</v>
      </c>
      <c r="J242" s="229">
        <v>0.49399999999999999</v>
      </c>
      <c r="K242" s="235">
        <f t="shared" si="4"/>
        <v>0</v>
      </c>
      <c r="L242" s="229">
        <v>0.19600000000000001</v>
      </c>
      <c r="M242" s="229">
        <v>0.19800000000000001</v>
      </c>
      <c r="N242" s="229">
        <v>0</v>
      </c>
      <c r="O242" s="229">
        <v>8.6340000000000003</v>
      </c>
      <c r="P242" s="229">
        <v>306.90699999999998</v>
      </c>
      <c r="Q242" s="229">
        <v>28.954000000000001</v>
      </c>
      <c r="R242" s="231"/>
      <c r="S242" s="229">
        <v>33.942</v>
      </c>
      <c r="T242" s="229">
        <v>76.686000000000007</v>
      </c>
      <c r="U242" s="229">
        <v>2.2509999999999999</v>
      </c>
      <c r="V242" s="229">
        <v>4.7329999999999997</v>
      </c>
      <c r="W242" s="229">
        <v>10.840999999999999</v>
      </c>
      <c r="X242" s="229">
        <v>17.690000000000001</v>
      </c>
      <c r="Y242" s="231"/>
    </row>
    <row r="243" spans="1:25" s="230" customFormat="1" ht="15.6" x14ac:dyDescent="0.3">
      <c r="A243" s="202">
        <v>504</v>
      </c>
      <c r="B243" s="204" t="s">
        <v>341</v>
      </c>
      <c r="C243" s="225"/>
      <c r="D243" s="207">
        <v>29.416</v>
      </c>
      <c r="E243" s="207">
        <v>83.1</v>
      </c>
      <c r="F243" s="229">
        <v>54.500000000000007</v>
      </c>
      <c r="G243" s="229">
        <v>23.626000000000001</v>
      </c>
      <c r="H243" s="229">
        <v>1.357</v>
      </c>
      <c r="I243" s="229">
        <v>0.51100000000000001</v>
      </c>
      <c r="J243" s="229">
        <v>0.40799999999999997</v>
      </c>
      <c r="K243" s="235">
        <f t="shared" si="4"/>
        <v>0</v>
      </c>
      <c r="L243" s="229">
        <v>0.19500000000000001</v>
      </c>
      <c r="M243" s="229">
        <v>0.03</v>
      </c>
      <c r="N243" s="229">
        <v>0.185</v>
      </c>
      <c r="O243" s="229">
        <v>9.327</v>
      </c>
      <c r="P243" s="229">
        <v>423.08499999999998</v>
      </c>
      <c r="Q243" s="229">
        <v>30.934000000000001</v>
      </c>
      <c r="R243" s="231"/>
      <c r="S243" s="229">
        <v>36.395000000000003</v>
      </c>
      <c r="T243" s="229">
        <v>76.822999999999993</v>
      </c>
      <c r="U243" s="229">
        <v>2.4590000000000001</v>
      </c>
      <c r="V243" s="229">
        <v>0</v>
      </c>
      <c r="W243" s="229">
        <v>15.288</v>
      </c>
      <c r="X243" s="229">
        <v>21.856000000000002</v>
      </c>
      <c r="Y243" s="231"/>
    </row>
    <row r="244" spans="1:25" s="230" customFormat="1" ht="15.6" x14ac:dyDescent="0.3">
      <c r="A244" s="202">
        <v>505</v>
      </c>
      <c r="B244" s="204" t="s">
        <v>342</v>
      </c>
      <c r="C244" s="225"/>
      <c r="D244" s="207">
        <v>89.933999999999997</v>
      </c>
      <c r="E244" s="207">
        <v>77.400000000000006</v>
      </c>
      <c r="F244" s="229">
        <v>49.5</v>
      </c>
      <c r="G244" s="229">
        <v>99.85</v>
      </c>
      <c r="H244" s="229">
        <v>0.34300000000000003</v>
      </c>
      <c r="I244" s="229">
        <v>0.17799999999999999</v>
      </c>
      <c r="J244" s="229">
        <v>0.20300000000000001</v>
      </c>
      <c r="K244" s="235">
        <f t="shared" si="4"/>
        <v>0</v>
      </c>
      <c r="L244" s="229">
        <v>2.7E-2</v>
      </c>
      <c r="M244" s="229">
        <v>0.55900000000000005</v>
      </c>
      <c r="N244" s="229">
        <v>0.39200000000000002</v>
      </c>
      <c r="O244" s="229">
        <v>5.09</v>
      </c>
      <c r="P244" s="229">
        <v>2636.95</v>
      </c>
      <c r="Q244" s="229">
        <v>6.3010000000000002</v>
      </c>
      <c r="R244" s="231"/>
      <c r="S244" s="229">
        <v>29.251999999999999</v>
      </c>
      <c r="T244" s="229">
        <v>71.826999999999998</v>
      </c>
      <c r="U244" s="229">
        <v>1.0629999999999999</v>
      </c>
      <c r="V244" s="229">
        <v>0.96399999999999997</v>
      </c>
      <c r="W244" s="229">
        <v>0.89300000000000002</v>
      </c>
      <c r="X244" s="229">
        <v>1.6679999999999999</v>
      </c>
      <c r="Y244" s="231"/>
    </row>
    <row r="245" spans="1:25" s="230" customFormat="1" ht="15.6" x14ac:dyDescent="0.3">
      <c r="A245" s="202">
        <v>506</v>
      </c>
      <c r="B245" s="204" t="s">
        <v>343</v>
      </c>
      <c r="C245" s="225"/>
      <c r="D245" s="207">
        <v>32.073999999999998</v>
      </c>
      <c r="E245" s="207">
        <v>87.7</v>
      </c>
      <c r="F245" s="229">
        <v>58.5</v>
      </c>
      <c r="G245" s="229">
        <v>12.909000000000001</v>
      </c>
      <c r="H245" s="229">
        <v>2.9089999999999998</v>
      </c>
      <c r="I245" s="229">
        <v>0.96799999999999997</v>
      </c>
      <c r="J245" s="229">
        <v>0.33</v>
      </c>
      <c r="K245" s="235">
        <f t="shared" si="4"/>
        <v>0</v>
      </c>
      <c r="L245" s="229">
        <v>0.22800000000000001</v>
      </c>
      <c r="M245" s="229">
        <v>0.43099999999999999</v>
      </c>
      <c r="N245" s="229">
        <v>0</v>
      </c>
      <c r="O245" s="229">
        <v>4.0090000000000003</v>
      </c>
      <c r="P245" s="229">
        <v>306.98099999999999</v>
      </c>
      <c r="Q245" s="229">
        <v>27.356000000000002</v>
      </c>
      <c r="R245" s="231"/>
      <c r="S245" s="229">
        <v>30.044</v>
      </c>
      <c r="T245" s="229">
        <v>78.911000000000001</v>
      </c>
      <c r="U245" s="229">
        <v>0.90100000000000002</v>
      </c>
      <c r="V245" s="229">
        <v>0</v>
      </c>
      <c r="W245" s="229">
        <v>19.63</v>
      </c>
      <c r="X245" s="229">
        <v>22.451000000000001</v>
      </c>
      <c r="Y245" s="231"/>
    </row>
    <row r="246" spans="1:25" s="230" customFormat="1" ht="15.6" x14ac:dyDescent="0.3">
      <c r="A246" s="202">
        <v>507</v>
      </c>
      <c r="B246" s="204" t="s">
        <v>344</v>
      </c>
      <c r="C246" s="225"/>
      <c r="D246" s="207">
        <v>93.072999999999993</v>
      </c>
      <c r="E246" s="207">
        <v>78.900000000000006</v>
      </c>
      <c r="F246" s="229">
        <v>50.8</v>
      </c>
      <c r="G246" s="229">
        <v>25.847999999999999</v>
      </c>
      <c r="H246" s="229">
        <v>0.32500000000000001</v>
      </c>
      <c r="I246" s="229">
        <v>0.30299999999999999</v>
      </c>
      <c r="J246" s="229">
        <v>0.64500000000000002</v>
      </c>
      <c r="K246" s="235">
        <f t="shared" si="4"/>
        <v>0</v>
      </c>
      <c r="L246" s="229">
        <v>0.219</v>
      </c>
      <c r="M246" s="229">
        <v>0.314</v>
      </c>
      <c r="N246" s="229">
        <v>0.77200000000000002</v>
      </c>
      <c r="O246" s="229">
        <v>13.728999999999999</v>
      </c>
      <c r="P246" s="229">
        <v>440.27699999999999</v>
      </c>
      <c r="Q246" s="229">
        <v>53.582000000000001</v>
      </c>
      <c r="R246" s="231"/>
      <c r="S246" s="229">
        <v>90.293999999999997</v>
      </c>
      <c r="T246" s="229">
        <v>72.852999999999994</v>
      </c>
      <c r="U246" s="229">
        <v>8.6859999999999999</v>
      </c>
      <c r="V246" s="229">
        <v>14.651</v>
      </c>
      <c r="W246" s="229">
        <v>24.164000000000001</v>
      </c>
      <c r="X246" s="229">
        <v>51.131999999999998</v>
      </c>
      <c r="Y246" s="231"/>
    </row>
    <row r="247" spans="1:25" s="230" customFormat="1" ht="15.6" x14ac:dyDescent="0.3">
      <c r="A247" s="202">
        <v>508</v>
      </c>
      <c r="B247" s="204" t="s">
        <v>345</v>
      </c>
      <c r="C247" s="225"/>
      <c r="D247" s="207">
        <v>90.676000000000002</v>
      </c>
      <c r="E247" s="207">
        <v>72.8</v>
      </c>
      <c r="F247" s="229">
        <v>45.300000000000004</v>
      </c>
      <c r="G247" s="229">
        <v>39.951999999999998</v>
      </c>
      <c r="H247" s="229">
        <v>1.288</v>
      </c>
      <c r="I247" s="229">
        <v>0.74299999999999999</v>
      </c>
      <c r="J247" s="229">
        <v>1.117</v>
      </c>
      <c r="K247" s="235">
        <f t="shared" si="4"/>
        <v>0</v>
      </c>
      <c r="L247" s="229">
        <v>0.54300000000000004</v>
      </c>
      <c r="M247" s="229">
        <v>0.70799999999999996</v>
      </c>
      <c r="N247" s="229">
        <v>0.26200000000000001</v>
      </c>
      <c r="O247" s="229">
        <v>5.8869999999999996</v>
      </c>
      <c r="P247" s="229">
        <v>240.208</v>
      </c>
      <c r="Q247" s="229">
        <v>64.760999999999996</v>
      </c>
      <c r="R247" s="231"/>
      <c r="S247" s="229">
        <v>60.374000000000002</v>
      </c>
      <c r="T247" s="229">
        <v>68.727999999999994</v>
      </c>
      <c r="U247" s="229">
        <v>7.3760000000000003</v>
      </c>
      <c r="V247" s="229">
        <v>9.8360000000000003</v>
      </c>
      <c r="W247" s="229">
        <v>20.940999999999999</v>
      </c>
      <c r="X247" s="229">
        <v>30.103000000000002</v>
      </c>
      <c r="Y247" s="231"/>
    </row>
    <row r="248" spans="1:25" s="230" customFormat="1" ht="15.6" x14ac:dyDescent="0.3">
      <c r="A248" s="202">
        <v>509</v>
      </c>
      <c r="B248" s="204" t="s">
        <v>346</v>
      </c>
      <c r="C248" s="225"/>
      <c r="D248" s="207">
        <v>94.188999999999993</v>
      </c>
      <c r="E248" s="207">
        <v>0</v>
      </c>
      <c r="F248" s="229">
        <v>0</v>
      </c>
      <c r="G248" s="229">
        <v>24.948</v>
      </c>
      <c r="H248" s="229">
        <v>0.86399999999999999</v>
      </c>
      <c r="I248" s="229">
        <v>0.54500000000000004</v>
      </c>
      <c r="J248" s="229">
        <v>0.72</v>
      </c>
      <c r="K248" s="235">
        <f t="shared" si="4"/>
        <v>0</v>
      </c>
      <c r="L248" s="229">
        <v>0.35199999999999998</v>
      </c>
      <c r="M248" s="229">
        <v>0.42899999999999999</v>
      </c>
      <c r="N248" s="229">
        <v>0</v>
      </c>
      <c r="O248" s="229">
        <v>3.484</v>
      </c>
      <c r="P248" s="229">
        <v>359.14</v>
      </c>
      <c r="Q248" s="229">
        <v>49.576999999999998</v>
      </c>
      <c r="R248" s="231"/>
      <c r="S248" s="229">
        <v>59.994999999999997</v>
      </c>
      <c r="T248" s="229">
        <v>0</v>
      </c>
      <c r="U248" s="229">
        <v>39.661000000000001</v>
      </c>
      <c r="V248" s="229">
        <v>10.055</v>
      </c>
      <c r="W248" s="229">
        <v>20.391999999999999</v>
      </c>
      <c r="X248" s="229">
        <v>28.413</v>
      </c>
      <c r="Y248" s="231"/>
    </row>
    <row r="249" spans="1:25" s="230" customFormat="1" ht="15.6" x14ac:dyDescent="0.3">
      <c r="A249" s="202">
        <v>510</v>
      </c>
      <c r="B249" s="204" t="s">
        <v>347</v>
      </c>
      <c r="C249" s="225"/>
      <c r="D249" s="207">
        <v>14.342000000000001</v>
      </c>
      <c r="E249" s="207">
        <v>77.900000000000006</v>
      </c>
      <c r="F249" s="229">
        <v>50.1</v>
      </c>
      <c r="G249" s="229">
        <v>9.6609999999999996</v>
      </c>
      <c r="H249" s="229">
        <v>2.54</v>
      </c>
      <c r="I249" s="229">
        <v>0.85799999999999998</v>
      </c>
      <c r="J249" s="229">
        <v>0.34699999999999998</v>
      </c>
      <c r="K249" s="235">
        <f t="shared" si="4"/>
        <v>0</v>
      </c>
      <c r="L249" s="229">
        <v>0.17399999999999999</v>
      </c>
      <c r="M249" s="229">
        <v>0.123</v>
      </c>
      <c r="N249" s="229">
        <v>0</v>
      </c>
      <c r="O249" s="229">
        <v>9.0150000000000006</v>
      </c>
      <c r="P249" s="229">
        <v>515.73299999999995</v>
      </c>
      <c r="Q249" s="229">
        <v>29.673999999999999</v>
      </c>
      <c r="R249" s="231"/>
      <c r="S249" s="229">
        <v>27.509</v>
      </c>
      <c r="T249" s="229">
        <v>72.915000000000006</v>
      </c>
      <c r="U249" s="229">
        <v>4.3479999999999999</v>
      </c>
      <c r="V249" s="229">
        <v>0</v>
      </c>
      <c r="W249" s="229">
        <v>20.905999999999999</v>
      </c>
      <c r="X249" s="229">
        <v>24.728000000000002</v>
      </c>
      <c r="Y249" s="231"/>
    </row>
    <row r="250" spans="1:25" s="230" customFormat="1" ht="15.6" x14ac:dyDescent="0.3">
      <c r="A250" s="202">
        <v>511</v>
      </c>
      <c r="B250" s="204" t="s">
        <v>348</v>
      </c>
      <c r="C250" s="225"/>
      <c r="D250" s="207">
        <v>19.54</v>
      </c>
      <c r="E250" s="207">
        <v>74.5</v>
      </c>
      <c r="F250" s="229">
        <v>46.9</v>
      </c>
      <c r="G250" s="229">
        <v>8.9</v>
      </c>
      <c r="H250" s="229">
        <v>1.244</v>
      </c>
      <c r="I250" s="229">
        <v>1.502</v>
      </c>
      <c r="J250" s="229">
        <v>0.154</v>
      </c>
      <c r="K250" s="235">
        <f t="shared" si="4"/>
        <v>0</v>
      </c>
      <c r="L250" s="229">
        <v>0.12</v>
      </c>
      <c r="M250" s="229">
        <v>9.7000000000000003E-2</v>
      </c>
      <c r="N250" s="229">
        <v>0.29099999999999998</v>
      </c>
      <c r="O250" s="229">
        <v>5.8150000000000004</v>
      </c>
      <c r="P250" s="229">
        <v>10821.11</v>
      </c>
      <c r="Q250" s="229">
        <v>12.734</v>
      </c>
      <c r="R250" s="231"/>
      <c r="S250" s="229">
        <v>11.58</v>
      </c>
      <c r="T250" s="229">
        <v>70.191999999999993</v>
      </c>
      <c r="U250" s="229">
        <v>3.504</v>
      </c>
      <c r="V250" s="229">
        <v>17.239999999999998</v>
      </c>
      <c r="W250" s="229">
        <v>23.481999999999999</v>
      </c>
      <c r="X250" s="229">
        <v>26.507000000000001</v>
      </c>
      <c r="Y250" s="231"/>
    </row>
    <row r="251" spans="1:25" s="230" customFormat="1" ht="15.6" x14ac:dyDescent="0.3">
      <c r="A251" s="202">
        <v>512</v>
      </c>
      <c r="B251" s="204" t="s">
        <v>349</v>
      </c>
      <c r="C251" s="225"/>
      <c r="D251" s="207">
        <v>92.626000000000005</v>
      </c>
      <c r="E251" s="207">
        <v>77.5</v>
      </c>
      <c r="F251" s="229">
        <v>49.3</v>
      </c>
      <c r="G251" s="229">
        <v>22.366</v>
      </c>
      <c r="H251" s="229">
        <v>2.2130000000000001</v>
      </c>
      <c r="I251" s="229">
        <v>0.14499999999999999</v>
      </c>
      <c r="J251" s="229">
        <v>0.60799999999999998</v>
      </c>
      <c r="K251" s="235">
        <f t="shared" si="4"/>
        <v>0</v>
      </c>
      <c r="L251" s="229">
        <v>0.34899999999999998</v>
      </c>
      <c r="M251" s="229">
        <v>0.27600000000000002</v>
      </c>
      <c r="N251" s="229">
        <v>0</v>
      </c>
      <c r="O251" s="229">
        <v>37.877000000000002</v>
      </c>
      <c r="P251" s="229">
        <v>715.75800000000004</v>
      </c>
      <c r="Q251" s="229">
        <v>104.459</v>
      </c>
      <c r="R251" s="231"/>
      <c r="S251" s="229">
        <v>54.719000000000001</v>
      </c>
      <c r="T251" s="229">
        <v>70.120999999999995</v>
      </c>
      <c r="U251" s="229">
        <v>13.073</v>
      </c>
      <c r="V251" s="229">
        <v>14.048999999999999</v>
      </c>
      <c r="W251" s="229">
        <v>31.439</v>
      </c>
      <c r="X251" s="229">
        <v>51.502000000000002</v>
      </c>
      <c r="Y251" s="231"/>
    </row>
    <row r="252" spans="1:25" s="230" customFormat="1" ht="15.6" x14ac:dyDescent="0.3">
      <c r="A252" s="202">
        <v>513</v>
      </c>
      <c r="B252" s="204" t="s">
        <v>350</v>
      </c>
      <c r="C252" s="225"/>
      <c r="D252" s="207">
        <v>89.058000000000007</v>
      </c>
      <c r="E252" s="207">
        <v>100.2</v>
      </c>
      <c r="F252" s="229">
        <v>69.099999999999994</v>
      </c>
      <c r="G252" s="229">
        <v>9.1140000000000008</v>
      </c>
      <c r="H252" s="229">
        <v>0.40500000000000003</v>
      </c>
      <c r="I252" s="229">
        <v>3.7999999999999999E-2</v>
      </c>
      <c r="J252" s="229">
        <v>0.311</v>
      </c>
      <c r="K252" s="235">
        <f t="shared" si="4"/>
        <v>0</v>
      </c>
      <c r="L252" s="229">
        <v>0.11700000000000001</v>
      </c>
      <c r="M252" s="229">
        <v>9.9000000000000005E-2</v>
      </c>
      <c r="N252" s="229">
        <v>0.19700000000000001</v>
      </c>
      <c r="O252" s="229">
        <v>2.7789999999999999</v>
      </c>
      <c r="P252" s="229">
        <v>61.22</v>
      </c>
      <c r="Q252" s="229">
        <v>8.9949999999999992</v>
      </c>
      <c r="R252" s="207">
        <v>0.15</v>
      </c>
      <c r="S252" s="229">
        <v>23.600999999999999</v>
      </c>
      <c r="T252" s="229">
        <v>88.126999999999995</v>
      </c>
      <c r="U252" s="229">
        <v>4.2329999999999997</v>
      </c>
      <c r="V252" s="229">
        <v>2.363</v>
      </c>
      <c r="W252" s="229">
        <v>3.6440000000000001</v>
      </c>
      <c r="X252" s="229">
        <v>9.9499999999999993</v>
      </c>
      <c r="Y252" s="207">
        <v>34</v>
      </c>
    </row>
    <row r="253" spans="1:25" s="230" customFormat="1" ht="15.6" x14ac:dyDescent="0.3">
      <c r="A253" s="202">
        <v>514</v>
      </c>
      <c r="B253" s="204" t="s">
        <v>351</v>
      </c>
      <c r="C253" s="225"/>
      <c r="D253" s="207">
        <v>90.403000000000006</v>
      </c>
      <c r="E253" s="207">
        <v>91.600000000000009</v>
      </c>
      <c r="F253" s="229">
        <v>61.199999999999996</v>
      </c>
      <c r="G253" s="229">
        <v>23.471</v>
      </c>
      <c r="H253" s="229">
        <v>0.65900000000000003</v>
      </c>
      <c r="I253" s="229">
        <v>6.2E-2</v>
      </c>
      <c r="J253" s="229">
        <v>0.81699999999999995</v>
      </c>
      <c r="K253" s="235">
        <f t="shared" si="4"/>
        <v>0</v>
      </c>
      <c r="L253" s="229">
        <v>0.25900000000000001</v>
      </c>
      <c r="M253" s="229">
        <v>0.28299999999999997</v>
      </c>
      <c r="N253" s="229">
        <v>0</v>
      </c>
      <c r="O253" s="229">
        <v>2.694</v>
      </c>
      <c r="P253" s="229">
        <v>128.86600000000001</v>
      </c>
      <c r="Q253" s="229">
        <v>15.253</v>
      </c>
      <c r="R253" s="231"/>
      <c r="S253" s="229">
        <v>77.278999999999996</v>
      </c>
      <c r="T253" s="229">
        <v>81.177000000000007</v>
      </c>
      <c r="U253" s="229">
        <v>10.077999999999999</v>
      </c>
      <c r="V253" s="229">
        <v>8.6690000000000005</v>
      </c>
      <c r="W253" s="229">
        <v>13.974</v>
      </c>
      <c r="X253" s="229">
        <v>39.493000000000002</v>
      </c>
      <c r="Y253" s="231"/>
    </row>
    <row r="254" spans="1:25" s="230" customFormat="1" ht="15.6" x14ac:dyDescent="0.3">
      <c r="A254" s="202">
        <v>515</v>
      </c>
      <c r="B254" s="204" t="s">
        <v>352</v>
      </c>
      <c r="C254" s="225"/>
      <c r="D254" s="207">
        <v>90.968000000000004</v>
      </c>
      <c r="E254" s="207">
        <v>97.899999999999991</v>
      </c>
      <c r="F254" s="229">
        <v>67.2</v>
      </c>
      <c r="G254" s="229">
        <v>67.159000000000006</v>
      </c>
      <c r="H254" s="229">
        <v>0.27100000000000002</v>
      </c>
      <c r="I254" s="229">
        <v>7.0999999999999994E-2</v>
      </c>
      <c r="J254" s="229">
        <v>0.53900000000000003</v>
      </c>
      <c r="K254" s="235">
        <f t="shared" si="4"/>
        <v>0</v>
      </c>
      <c r="L254" s="229">
        <v>7.9000000000000001E-2</v>
      </c>
      <c r="M254" s="229">
        <v>0.86</v>
      </c>
      <c r="N254" s="229">
        <v>0</v>
      </c>
      <c r="O254" s="229">
        <v>3.1230000000000002</v>
      </c>
      <c r="P254" s="229">
        <v>126.126</v>
      </c>
      <c r="Q254" s="229">
        <v>7.4859999999999998</v>
      </c>
      <c r="R254" s="231"/>
      <c r="S254" s="229">
        <v>30.736999999999998</v>
      </c>
      <c r="T254" s="229">
        <v>87.230999999999995</v>
      </c>
      <c r="U254" s="229">
        <v>2.992</v>
      </c>
      <c r="V254" s="229">
        <v>2.0409999999999999</v>
      </c>
      <c r="W254" s="229">
        <v>4.556</v>
      </c>
      <c r="X254" s="229">
        <v>8.4580000000000002</v>
      </c>
      <c r="Y254" s="231"/>
    </row>
    <row r="255" spans="1:25" s="230" customFormat="1" ht="15.6" x14ac:dyDescent="0.3">
      <c r="A255" s="202">
        <v>516</v>
      </c>
      <c r="B255" s="204" t="s">
        <v>353</v>
      </c>
      <c r="C255" s="225"/>
      <c r="D255" s="207">
        <v>58.612000000000002</v>
      </c>
      <c r="E255" s="207">
        <v>90.2</v>
      </c>
      <c r="F255" s="229">
        <v>60.6</v>
      </c>
      <c r="G255" s="229">
        <v>8.0579999999999998</v>
      </c>
      <c r="H255" s="229">
        <v>0.51500000000000001</v>
      </c>
      <c r="I255" s="229">
        <v>5.7000000000000002E-2</v>
      </c>
      <c r="J255" s="229">
        <v>0.27300000000000002</v>
      </c>
      <c r="K255" s="235">
        <f t="shared" si="4"/>
        <v>0</v>
      </c>
      <c r="L255" s="229">
        <v>0.11600000000000001</v>
      </c>
      <c r="M255" s="229">
        <v>9.6000000000000002E-2</v>
      </c>
      <c r="N255" s="229">
        <v>0</v>
      </c>
      <c r="O255" s="229">
        <v>3.7010000000000001</v>
      </c>
      <c r="P255" s="229">
        <v>100.07</v>
      </c>
      <c r="Q255" s="229">
        <v>11.428000000000001</v>
      </c>
      <c r="R255" s="231"/>
      <c r="S255" s="229">
        <v>21.763000000000002</v>
      </c>
      <c r="T255" s="229">
        <v>81.155000000000001</v>
      </c>
      <c r="U255" s="229">
        <v>3.5550000000000002</v>
      </c>
      <c r="V255" s="229">
        <v>8.8970000000000002</v>
      </c>
      <c r="W255" s="229">
        <v>11.545</v>
      </c>
      <c r="X255" s="229">
        <v>24.196999999999999</v>
      </c>
      <c r="Y255" s="231"/>
    </row>
    <row r="256" spans="1:25" s="230" customFormat="1" ht="15.6" x14ac:dyDescent="0.3">
      <c r="A256" s="202">
        <v>517</v>
      </c>
      <c r="B256" s="204" t="s">
        <v>354</v>
      </c>
      <c r="C256" s="225"/>
      <c r="D256" s="207">
        <v>90.698999999999998</v>
      </c>
      <c r="E256" s="207">
        <v>74.2</v>
      </c>
      <c r="F256" s="229">
        <v>46.5</v>
      </c>
      <c r="G256" s="229">
        <v>43.481999999999999</v>
      </c>
      <c r="H256" s="229">
        <v>1.579</v>
      </c>
      <c r="I256" s="229">
        <v>0.31</v>
      </c>
      <c r="J256" s="229">
        <v>1.155</v>
      </c>
      <c r="K256" s="235">
        <f t="shared" si="4"/>
        <v>0</v>
      </c>
      <c r="L256" s="229">
        <v>0.61399999999999999</v>
      </c>
      <c r="M256" s="229">
        <v>0.432</v>
      </c>
      <c r="N256" s="229">
        <v>0.33700000000000002</v>
      </c>
      <c r="O256" s="229">
        <v>13.222</v>
      </c>
      <c r="P256" s="229">
        <v>228.07499999999999</v>
      </c>
      <c r="Q256" s="229">
        <v>26.734000000000002</v>
      </c>
      <c r="R256" s="207">
        <v>0.32</v>
      </c>
      <c r="S256" s="229">
        <v>64.436000000000007</v>
      </c>
      <c r="T256" s="229">
        <v>69.606999999999999</v>
      </c>
      <c r="U256" s="229">
        <v>5.7309999999999999</v>
      </c>
      <c r="V256" s="229">
        <v>12.967000000000001</v>
      </c>
      <c r="W256" s="229">
        <v>22.556999999999999</v>
      </c>
      <c r="X256" s="229">
        <v>32.380000000000003</v>
      </c>
      <c r="Y256" s="207">
        <v>23</v>
      </c>
    </row>
    <row r="257" spans="1:25" s="230" customFormat="1" ht="15.6" x14ac:dyDescent="0.3">
      <c r="A257" s="202">
        <v>518</v>
      </c>
      <c r="B257" s="204" t="s">
        <v>355</v>
      </c>
      <c r="C257" s="225"/>
      <c r="D257" s="207">
        <v>91.549000000000007</v>
      </c>
      <c r="E257" s="207">
        <v>113.1</v>
      </c>
      <c r="F257" s="229">
        <v>79.600000000000009</v>
      </c>
      <c r="G257" s="229">
        <v>26.562999999999999</v>
      </c>
      <c r="H257" s="229">
        <v>1.2609999999999999</v>
      </c>
      <c r="I257" s="229">
        <v>0.34399999999999997</v>
      </c>
      <c r="J257" s="229">
        <v>0.752</v>
      </c>
      <c r="K257" s="235">
        <f t="shared" si="4"/>
        <v>0</v>
      </c>
      <c r="L257" s="229">
        <v>0.41299999999999998</v>
      </c>
      <c r="M257" s="229">
        <v>0.55800000000000005</v>
      </c>
      <c r="N257" s="229">
        <v>0</v>
      </c>
      <c r="O257" s="229">
        <v>8.16</v>
      </c>
      <c r="P257" s="229">
        <v>102.506</v>
      </c>
      <c r="Q257" s="229">
        <v>24.943999999999999</v>
      </c>
      <c r="R257" s="231"/>
      <c r="S257" s="229">
        <v>37.408999999999999</v>
      </c>
      <c r="T257" s="229">
        <v>89.805000000000007</v>
      </c>
      <c r="U257" s="229">
        <v>22.882000000000001</v>
      </c>
      <c r="V257" s="229">
        <v>19.794</v>
      </c>
      <c r="W257" s="229">
        <v>29.478999999999999</v>
      </c>
      <c r="X257" s="229">
        <v>43.064999999999998</v>
      </c>
      <c r="Y257" s="231"/>
    </row>
    <row r="258" spans="1:25" s="230" customFormat="1" ht="15.6" x14ac:dyDescent="0.3">
      <c r="A258" s="202">
        <v>519</v>
      </c>
      <c r="B258" s="204" t="s">
        <v>356</v>
      </c>
      <c r="C258" s="225"/>
      <c r="D258" s="207">
        <v>93.980999999999995</v>
      </c>
      <c r="E258" s="207">
        <v>73.7</v>
      </c>
      <c r="F258" s="229">
        <v>46</v>
      </c>
      <c r="G258" s="229">
        <v>31.007999999999999</v>
      </c>
      <c r="H258" s="229">
        <v>1.4419999999999999</v>
      </c>
      <c r="I258" s="229">
        <v>0.28499999999999998</v>
      </c>
      <c r="J258" s="229">
        <v>0.81399999999999995</v>
      </c>
      <c r="K258" s="235">
        <f t="shared" si="4"/>
        <v>0</v>
      </c>
      <c r="L258" s="229">
        <v>0.44700000000000001</v>
      </c>
      <c r="M258" s="229">
        <v>0.30099999999999999</v>
      </c>
      <c r="N258" s="229">
        <v>0</v>
      </c>
      <c r="O258" s="229">
        <v>9.516</v>
      </c>
      <c r="P258" s="229">
        <v>95.518000000000001</v>
      </c>
      <c r="Q258" s="229">
        <v>20.440999999999999</v>
      </c>
      <c r="R258" s="231"/>
      <c r="S258" s="229">
        <v>42.71</v>
      </c>
      <c r="T258" s="229">
        <v>67.069000000000003</v>
      </c>
      <c r="U258" s="229">
        <v>9.6660000000000004</v>
      </c>
      <c r="V258" s="229">
        <v>15.984</v>
      </c>
      <c r="W258" s="229">
        <v>37.156999999999996</v>
      </c>
      <c r="X258" s="229">
        <v>45.497999999999998</v>
      </c>
      <c r="Y258" s="231"/>
    </row>
    <row r="259" spans="1:25" s="230" customFormat="1" ht="15.6" x14ac:dyDescent="0.3">
      <c r="A259" s="202">
        <v>520</v>
      </c>
      <c r="B259" s="204" t="s">
        <v>357</v>
      </c>
      <c r="C259" s="225"/>
      <c r="D259" s="207">
        <v>91.361999999999995</v>
      </c>
      <c r="E259" s="207">
        <v>93</v>
      </c>
      <c r="F259" s="229">
        <v>63.1</v>
      </c>
      <c r="G259" s="229">
        <v>24.16</v>
      </c>
      <c r="H259" s="229">
        <v>1.175</v>
      </c>
      <c r="I259" s="229">
        <v>0.186</v>
      </c>
      <c r="J259" s="229">
        <v>0.68700000000000006</v>
      </c>
      <c r="K259" s="235">
        <f t="shared" si="4"/>
        <v>0</v>
      </c>
      <c r="L259" s="229">
        <v>0.38200000000000001</v>
      </c>
      <c r="M259" s="229">
        <v>0.23400000000000001</v>
      </c>
      <c r="N259" s="229">
        <v>0.25900000000000001</v>
      </c>
      <c r="O259" s="229">
        <v>6.3159999999999998</v>
      </c>
      <c r="P259" s="229">
        <v>75.882999999999996</v>
      </c>
      <c r="Q259" s="229">
        <v>15.942</v>
      </c>
      <c r="R259" s="207">
        <v>0.25</v>
      </c>
      <c r="S259" s="229">
        <v>34.244</v>
      </c>
      <c r="T259" s="229">
        <v>77.171999999999997</v>
      </c>
      <c r="U259" s="229">
        <v>19.852</v>
      </c>
      <c r="V259" s="229">
        <v>25.954999999999998</v>
      </c>
      <c r="W259" s="229">
        <v>40.334000000000003</v>
      </c>
      <c r="X259" s="229">
        <v>53.429000000000002</v>
      </c>
      <c r="Y259" s="207">
        <v>100</v>
      </c>
    </row>
    <row r="260" spans="1:25" s="230" customFormat="1" ht="15.6" x14ac:dyDescent="0.3">
      <c r="A260" s="202">
        <v>521</v>
      </c>
      <c r="B260" s="204" t="s">
        <v>358</v>
      </c>
      <c r="C260" s="225"/>
      <c r="D260" s="207">
        <v>89.247</v>
      </c>
      <c r="E260" s="207">
        <v>94.3</v>
      </c>
      <c r="F260" s="229">
        <v>64.099999999999994</v>
      </c>
      <c r="G260" s="229">
        <v>8.923</v>
      </c>
      <c r="H260" s="229">
        <v>0.50700000000000001</v>
      </c>
      <c r="I260" s="229">
        <v>0.42399999999999999</v>
      </c>
      <c r="J260" s="229">
        <v>0.311</v>
      </c>
      <c r="K260" s="235">
        <f t="shared" si="4"/>
        <v>0</v>
      </c>
      <c r="L260" s="229">
        <v>0.124</v>
      </c>
      <c r="M260" s="229">
        <v>9.9000000000000005E-2</v>
      </c>
      <c r="N260" s="229">
        <v>0.86699999999999999</v>
      </c>
      <c r="O260" s="229">
        <v>3.8260000000000001</v>
      </c>
      <c r="P260" s="229">
        <v>103.726</v>
      </c>
      <c r="Q260" s="229">
        <v>11.731999999999999</v>
      </c>
      <c r="R260" s="231"/>
      <c r="S260" s="229">
        <v>26.061</v>
      </c>
      <c r="T260" s="229">
        <v>83.926000000000002</v>
      </c>
      <c r="U260" s="229">
        <v>3.879</v>
      </c>
      <c r="V260" s="229">
        <v>3.2410000000000001</v>
      </c>
      <c r="W260" s="229">
        <v>8.1679999999999993</v>
      </c>
      <c r="X260" s="229">
        <v>18.745000000000001</v>
      </c>
      <c r="Y260" s="231"/>
    </row>
    <row r="261" spans="1:25" s="230" customFormat="1" ht="15.6" x14ac:dyDescent="0.3">
      <c r="A261" s="202">
        <v>522</v>
      </c>
      <c r="B261" s="203" t="s">
        <v>34</v>
      </c>
      <c r="C261" s="226"/>
      <c r="D261" s="207">
        <v>99.2</v>
      </c>
      <c r="E261" s="207">
        <v>215.90899999999999</v>
      </c>
      <c r="F261" s="207">
        <v>159.54</v>
      </c>
      <c r="G261" s="207"/>
      <c r="H261" s="207"/>
      <c r="I261" s="207"/>
      <c r="J261" s="207"/>
      <c r="K261" s="235">
        <f t="shared" ref="K261:K323" si="5">C261</f>
        <v>0</v>
      </c>
      <c r="L261" s="233">
        <v>0</v>
      </c>
      <c r="M261" s="207"/>
      <c r="N261" s="207"/>
      <c r="O261" s="207"/>
      <c r="P261" s="207"/>
      <c r="Q261" s="207"/>
      <c r="R261" s="207"/>
      <c r="S261" s="207"/>
      <c r="T261" s="207">
        <v>177</v>
      </c>
      <c r="U261" s="207">
        <v>99.5</v>
      </c>
      <c r="W261" s="207"/>
      <c r="X261" s="207"/>
      <c r="Y261" s="207"/>
    </row>
    <row r="262" spans="1:25" s="230" customFormat="1" ht="15.6" x14ac:dyDescent="0.3">
      <c r="A262" s="202">
        <v>523</v>
      </c>
      <c r="B262" s="204" t="s">
        <v>359</v>
      </c>
      <c r="C262" s="225"/>
      <c r="D262" s="207">
        <v>92.677999999999997</v>
      </c>
      <c r="E262" s="207">
        <v>90.8</v>
      </c>
      <c r="F262" s="229">
        <v>61</v>
      </c>
      <c r="G262" s="229">
        <v>88.447999999999993</v>
      </c>
      <c r="H262" s="229">
        <v>0.17599999999999999</v>
      </c>
      <c r="I262" s="229">
        <v>0.56200000000000006</v>
      </c>
      <c r="J262" s="229">
        <v>0.35699999999999998</v>
      </c>
      <c r="K262" s="235">
        <f t="shared" si="5"/>
        <v>0</v>
      </c>
      <c r="L262" s="229">
        <v>4.2999999999999997E-2</v>
      </c>
      <c r="M262" s="229">
        <v>1.7709999999999999</v>
      </c>
      <c r="N262" s="229">
        <v>0.46400000000000002</v>
      </c>
      <c r="O262" s="229">
        <v>12.09</v>
      </c>
      <c r="P262" s="229">
        <v>457.952</v>
      </c>
      <c r="Q262" s="229">
        <v>10.065</v>
      </c>
      <c r="R262" s="207">
        <v>0.9</v>
      </c>
      <c r="S262" s="229">
        <v>89.433000000000007</v>
      </c>
      <c r="T262" s="229">
        <v>77.855999999999995</v>
      </c>
      <c r="U262" s="229">
        <v>10.039</v>
      </c>
      <c r="V262" s="229">
        <v>1.3049999999999999</v>
      </c>
      <c r="W262" s="229">
        <v>3.0350000000000001</v>
      </c>
      <c r="X262" s="229">
        <v>16.792999999999999</v>
      </c>
      <c r="Y262" s="207">
        <v>23</v>
      </c>
    </row>
    <row r="263" spans="1:25" s="230" customFormat="1" ht="15.6" x14ac:dyDescent="0.3">
      <c r="A263" s="202">
        <v>524</v>
      </c>
      <c r="B263" s="204" t="s">
        <v>360</v>
      </c>
      <c r="C263" s="225"/>
      <c r="D263" s="207">
        <v>91.518000000000001</v>
      </c>
      <c r="E263" s="207">
        <v>91.4</v>
      </c>
      <c r="F263" s="229">
        <v>61.9</v>
      </c>
      <c r="G263" s="229">
        <v>60.500999999999998</v>
      </c>
      <c r="H263" s="229">
        <v>0.86499999999999999</v>
      </c>
      <c r="I263" s="229">
        <v>5.0430000000000001</v>
      </c>
      <c r="J263" s="229">
        <v>2.911</v>
      </c>
      <c r="K263" s="235">
        <f t="shared" si="5"/>
        <v>0</v>
      </c>
      <c r="L263" s="229">
        <v>0.22800000000000001</v>
      </c>
      <c r="M263" s="229">
        <v>0.83799999999999997</v>
      </c>
      <c r="N263" s="229">
        <v>1.0509999999999999</v>
      </c>
      <c r="O263" s="229">
        <v>7.1050000000000004</v>
      </c>
      <c r="P263" s="229">
        <v>682.83</v>
      </c>
      <c r="Q263" s="229">
        <v>37.255000000000003</v>
      </c>
      <c r="R263" s="231"/>
      <c r="S263" s="229">
        <v>112.836</v>
      </c>
      <c r="T263" s="229">
        <v>76.668999999999997</v>
      </c>
      <c r="U263" s="229">
        <v>12.065</v>
      </c>
      <c r="V263" s="229">
        <v>1.9350000000000001</v>
      </c>
      <c r="W263" s="229">
        <v>4.21</v>
      </c>
      <c r="X263" s="229">
        <v>22.83</v>
      </c>
      <c r="Y263" s="231"/>
    </row>
    <row r="264" spans="1:25" s="230" customFormat="1" ht="15.6" x14ac:dyDescent="0.3">
      <c r="A264" s="202">
        <v>525</v>
      </c>
      <c r="B264" s="204" t="s">
        <v>361</v>
      </c>
      <c r="C264" s="225"/>
      <c r="D264" s="207">
        <v>91.274000000000001</v>
      </c>
      <c r="E264" s="207">
        <v>144.1</v>
      </c>
      <c r="F264" s="229">
        <v>103.89999999999999</v>
      </c>
      <c r="G264" s="229">
        <v>29.283999999999999</v>
      </c>
      <c r="H264" s="229">
        <v>0.95399999999999996</v>
      </c>
      <c r="I264" s="229">
        <v>0.312</v>
      </c>
      <c r="J264" s="229">
        <v>0.71099999999999997</v>
      </c>
      <c r="K264" s="235">
        <f t="shared" si="5"/>
        <v>0</v>
      </c>
      <c r="L264" s="229">
        <v>0.45900000000000002</v>
      </c>
      <c r="M264" s="229">
        <v>0.3</v>
      </c>
      <c r="N264" s="229">
        <v>0.70799999999999996</v>
      </c>
      <c r="O264" s="229">
        <v>15.255000000000001</v>
      </c>
      <c r="P264" s="229">
        <v>158.107</v>
      </c>
      <c r="Q264" s="229">
        <v>38.277000000000001</v>
      </c>
      <c r="R264" s="231"/>
      <c r="S264" s="229">
        <v>56.518999999999998</v>
      </c>
      <c r="T264" s="229">
        <v>109.94799999999999</v>
      </c>
      <c r="U264" s="229">
        <v>23.222000000000001</v>
      </c>
      <c r="V264" s="229">
        <v>10.657</v>
      </c>
      <c r="W264" s="229">
        <v>18.568999999999999</v>
      </c>
      <c r="X264" s="229">
        <v>31.881</v>
      </c>
      <c r="Y264" s="231"/>
    </row>
    <row r="265" spans="1:25" s="230" customFormat="1" ht="15.6" x14ac:dyDescent="0.3">
      <c r="A265" s="202">
        <v>526</v>
      </c>
      <c r="B265" s="204" t="s">
        <v>362</v>
      </c>
      <c r="C265" s="225"/>
      <c r="D265" s="207">
        <v>86.067999999999998</v>
      </c>
      <c r="E265" s="207">
        <v>76.2</v>
      </c>
      <c r="F265" s="229">
        <v>48.1</v>
      </c>
      <c r="G265" s="229">
        <v>7.54</v>
      </c>
      <c r="H265" s="229">
        <v>1.522</v>
      </c>
      <c r="I265" s="229">
        <v>0.35899999999999999</v>
      </c>
      <c r="J265" s="229">
        <v>0.187</v>
      </c>
      <c r="K265" s="235">
        <f t="shared" si="5"/>
        <v>0</v>
      </c>
      <c r="L265" s="229">
        <v>0.13500000000000001</v>
      </c>
      <c r="M265" s="229">
        <v>0.14799999999999999</v>
      </c>
      <c r="N265" s="229">
        <v>1.327</v>
      </c>
      <c r="O265" s="229">
        <v>8.5549999999999997</v>
      </c>
      <c r="P265" s="229">
        <v>309.45999999999998</v>
      </c>
      <c r="Q265" s="229">
        <v>55.710999999999999</v>
      </c>
      <c r="R265" s="231"/>
      <c r="S265" s="229">
        <v>18.486000000000001</v>
      </c>
      <c r="T265" s="229">
        <v>72.046999999999997</v>
      </c>
      <c r="U265" s="229">
        <v>4.9409999999999998</v>
      </c>
      <c r="V265" s="229">
        <v>15.5</v>
      </c>
      <c r="W265" s="229">
        <v>28.654</v>
      </c>
      <c r="X265" s="229">
        <v>40.109000000000002</v>
      </c>
      <c r="Y265" s="231"/>
    </row>
    <row r="266" spans="1:25" s="230" customFormat="1" ht="15.6" x14ac:dyDescent="0.3">
      <c r="A266" s="202">
        <v>527</v>
      </c>
      <c r="B266" s="204" t="s">
        <v>363</v>
      </c>
      <c r="C266" s="225"/>
      <c r="D266" s="207">
        <v>28.114000000000001</v>
      </c>
      <c r="E266" s="207">
        <v>77</v>
      </c>
      <c r="F266" s="229">
        <v>49.2</v>
      </c>
      <c r="G266" s="229">
        <v>7.923</v>
      </c>
      <c r="H266" s="229">
        <v>1.496</v>
      </c>
      <c r="I266" s="229">
        <v>0.42099999999999999</v>
      </c>
      <c r="J266" s="229">
        <v>0.20899999999999999</v>
      </c>
      <c r="K266" s="235">
        <f t="shared" si="5"/>
        <v>0</v>
      </c>
      <c r="L266" s="229">
        <v>0.124</v>
      </c>
      <c r="M266" s="229">
        <v>0.121</v>
      </c>
      <c r="N266" s="229">
        <v>0.82799999999999996</v>
      </c>
      <c r="O266" s="229">
        <v>9.7560000000000002</v>
      </c>
      <c r="P266" s="229">
        <v>210.405</v>
      </c>
      <c r="Q266" s="229">
        <v>33.973999999999997</v>
      </c>
      <c r="R266" s="231"/>
      <c r="S266" s="229">
        <v>19.347000000000001</v>
      </c>
      <c r="T266" s="229">
        <v>72.203999999999994</v>
      </c>
      <c r="U266" s="229">
        <v>4.9000000000000004</v>
      </c>
      <c r="V266" s="229">
        <v>8.8260000000000005</v>
      </c>
      <c r="W266" s="229">
        <v>25.379000000000001</v>
      </c>
      <c r="X266" s="229">
        <v>34.594000000000001</v>
      </c>
      <c r="Y266" s="231"/>
    </row>
    <row r="267" spans="1:25" s="230" customFormat="1" ht="15.6" x14ac:dyDescent="0.3">
      <c r="A267" s="202">
        <v>528</v>
      </c>
      <c r="B267" s="204" t="s">
        <v>364</v>
      </c>
      <c r="C267" s="225"/>
      <c r="D267" s="207">
        <v>89.983000000000004</v>
      </c>
      <c r="E267" s="207">
        <v>82.899999999999991</v>
      </c>
      <c r="F267" s="229">
        <v>54.2</v>
      </c>
      <c r="G267" s="229">
        <v>13.21</v>
      </c>
      <c r="H267" s="229">
        <v>0.78</v>
      </c>
      <c r="I267" s="229">
        <v>0.41499999999999998</v>
      </c>
      <c r="J267" s="229">
        <v>0.38200000000000001</v>
      </c>
      <c r="K267" s="235">
        <f t="shared" si="5"/>
        <v>0</v>
      </c>
      <c r="L267" s="229">
        <v>0.20899999999999999</v>
      </c>
      <c r="M267" s="229">
        <v>0.16700000000000001</v>
      </c>
      <c r="N267" s="229">
        <v>2.6150000000000002</v>
      </c>
      <c r="O267" s="229">
        <v>12.922000000000001</v>
      </c>
      <c r="P267" s="229">
        <v>580.96799999999996</v>
      </c>
      <c r="Q267" s="229">
        <v>61.69</v>
      </c>
      <c r="R267" s="231"/>
      <c r="S267" s="229">
        <v>55.335999999999999</v>
      </c>
      <c r="T267" s="229">
        <v>75.962000000000003</v>
      </c>
      <c r="U267" s="229">
        <v>5.9269999999999996</v>
      </c>
      <c r="V267" s="229">
        <v>10.802</v>
      </c>
      <c r="W267" s="229">
        <v>17.213999999999999</v>
      </c>
      <c r="X267" s="229">
        <v>30.745000000000001</v>
      </c>
      <c r="Y267" s="231"/>
    </row>
    <row r="268" spans="1:25" s="230" customFormat="1" ht="15.6" x14ac:dyDescent="0.3">
      <c r="A268" s="202">
        <v>529</v>
      </c>
      <c r="B268" s="204" t="s">
        <v>365</v>
      </c>
      <c r="C268" s="225"/>
      <c r="D268" s="207">
        <v>89.066000000000003</v>
      </c>
      <c r="E268" s="207">
        <v>65</v>
      </c>
      <c r="F268" s="229">
        <v>38.4</v>
      </c>
      <c r="G268" s="229">
        <v>14.26</v>
      </c>
      <c r="H268" s="229">
        <v>1.7629999999999999</v>
      </c>
      <c r="I268" s="229">
        <v>0.746</v>
      </c>
      <c r="J268" s="229">
        <v>0.31900000000000001</v>
      </c>
      <c r="K268" s="235">
        <f t="shared" si="5"/>
        <v>0</v>
      </c>
      <c r="L268" s="229">
        <v>0.14499999999999999</v>
      </c>
      <c r="M268" s="229">
        <v>0.185</v>
      </c>
      <c r="N268" s="229">
        <v>0.372</v>
      </c>
      <c r="O268" s="229">
        <v>32.494</v>
      </c>
      <c r="P268" s="229">
        <v>1126.3019999999999</v>
      </c>
      <c r="Q268" s="229">
        <v>34.542999999999999</v>
      </c>
      <c r="R268" s="231"/>
      <c r="S268" s="229">
        <v>27.55</v>
      </c>
      <c r="T268" s="229">
        <v>63.411999999999999</v>
      </c>
      <c r="U268" s="229">
        <v>9.2430000000000003</v>
      </c>
      <c r="V268" s="229">
        <v>34.073999999999998</v>
      </c>
      <c r="W268" s="229">
        <v>46.290999999999997</v>
      </c>
      <c r="X268" s="229">
        <v>51.718000000000004</v>
      </c>
      <c r="Y268" s="231"/>
    </row>
    <row r="269" spans="1:25" s="230" customFormat="1" ht="15.6" x14ac:dyDescent="0.3">
      <c r="A269" s="202">
        <v>530</v>
      </c>
      <c r="B269" s="204" t="s">
        <v>366</v>
      </c>
      <c r="C269" s="225"/>
      <c r="D269" s="207">
        <v>41.917000000000002</v>
      </c>
      <c r="E269" s="207">
        <v>71.2</v>
      </c>
      <c r="F269" s="229">
        <v>43.9</v>
      </c>
      <c r="G269" s="229">
        <v>12.164</v>
      </c>
      <c r="H269" s="229">
        <v>1.75</v>
      </c>
      <c r="I269" s="229">
        <v>0.52800000000000002</v>
      </c>
      <c r="J269" s="229">
        <v>0.254</v>
      </c>
      <c r="K269" s="235">
        <f t="shared" si="5"/>
        <v>0</v>
      </c>
      <c r="L269" s="229">
        <v>0.11799999999999999</v>
      </c>
      <c r="M269" s="229">
        <v>0.14899999999999999</v>
      </c>
      <c r="N269" s="229">
        <v>0</v>
      </c>
      <c r="O269" s="229">
        <v>18.809000000000001</v>
      </c>
      <c r="P269" s="229">
        <v>645.48500000000001</v>
      </c>
      <c r="Q269" s="229">
        <v>26.405999999999999</v>
      </c>
      <c r="R269" s="231"/>
      <c r="S269" s="229">
        <v>18.16</v>
      </c>
      <c r="T269" s="229">
        <v>67.471000000000004</v>
      </c>
      <c r="U269" s="229">
        <v>9.1940000000000008</v>
      </c>
      <c r="V269" s="229">
        <v>0</v>
      </c>
      <c r="W269" s="229">
        <v>42.222999999999999</v>
      </c>
      <c r="X269" s="229">
        <v>48.704999999999998</v>
      </c>
      <c r="Y269" s="231"/>
    </row>
    <row r="270" spans="1:25" s="230" customFormat="1" ht="15.6" x14ac:dyDescent="0.3">
      <c r="A270" s="202">
        <v>531</v>
      </c>
      <c r="B270" s="204" t="s">
        <v>367</v>
      </c>
      <c r="C270" s="225"/>
      <c r="D270" s="207">
        <v>63.618000000000002</v>
      </c>
      <c r="E270" s="207">
        <v>92.9</v>
      </c>
      <c r="F270" s="229">
        <v>62.9</v>
      </c>
      <c r="G270" s="229">
        <v>8.2129999999999992</v>
      </c>
      <c r="H270" s="229">
        <v>0.48399999999999999</v>
      </c>
      <c r="I270" s="229">
        <v>4.8000000000000001E-2</v>
      </c>
      <c r="J270" s="229">
        <v>0.28599999999999998</v>
      </c>
      <c r="K270" s="235">
        <f t="shared" si="5"/>
        <v>0</v>
      </c>
      <c r="L270" s="229">
        <v>0.11600000000000001</v>
      </c>
      <c r="M270" s="229">
        <v>9.6000000000000002E-2</v>
      </c>
      <c r="N270" s="229">
        <v>0</v>
      </c>
      <c r="O270" s="229">
        <v>3.4350000000000001</v>
      </c>
      <c r="P270" s="229">
        <v>104.054</v>
      </c>
      <c r="Q270" s="229">
        <v>9.7469999999999999</v>
      </c>
      <c r="R270" s="231"/>
      <c r="S270" s="229">
        <v>20.446999999999999</v>
      </c>
      <c r="T270" s="229">
        <v>83.010999999999996</v>
      </c>
      <c r="U270" s="229">
        <v>3.6349999999999998</v>
      </c>
      <c r="V270" s="229">
        <v>0</v>
      </c>
      <c r="W270" s="229">
        <v>9.5190000000000001</v>
      </c>
      <c r="X270" s="229">
        <v>20.986999999999998</v>
      </c>
      <c r="Y270" s="231"/>
    </row>
    <row r="271" spans="1:25" s="230" customFormat="1" ht="15.6" x14ac:dyDescent="0.3">
      <c r="A271" s="202">
        <v>532</v>
      </c>
      <c r="B271" s="204" t="s">
        <v>368</v>
      </c>
      <c r="C271" s="225"/>
      <c r="D271" s="207">
        <v>71.66</v>
      </c>
      <c r="E271" s="207">
        <v>99.9</v>
      </c>
      <c r="F271" s="229">
        <v>68.899999999999991</v>
      </c>
      <c r="G271" s="229">
        <v>8.9480000000000004</v>
      </c>
      <c r="H271" s="229">
        <v>0.41099999999999998</v>
      </c>
      <c r="I271" s="229">
        <v>2.5000000000000001E-2</v>
      </c>
      <c r="J271" s="229">
        <v>0.314</v>
      </c>
      <c r="K271" s="235">
        <f t="shared" si="5"/>
        <v>0</v>
      </c>
      <c r="L271" s="229">
        <v>0.11799999999999999</v>
      </c>
      <c r="M271" s="229">
        <v>0.1</v>
      </c>
      <c r="N271" s="229">
        <v>0.8</v>
      </c>
      <c r="O271" s="229">
        <v>1.6</v>
      </c>
      <c r="P271" s="229">
        <v>49.848999999999997</v>
      </c>
      <c r="Q271" s="229">
        <v>6.0640000000000001</v>
      </c>
      <c r="R271" s="231"/>
      <c r="S271" s="229">
        <v>19.398</v>
      </c>
      <c r="T271" s="229">
        <v>87.936999999999998</v>
      </c>
      <c r="U271" s="229">
        <v>4.0910000000000002</v>
      </c>
      <c r="V271" s="229">
        <v>2.3610000000000002</v>
      </c>
      <c r="W271" s="229">
        <v>3.7029999999999998</v>
      </c>
      <c r="X271" s="229">
        <v>10.242000000000001</v>
      </c>
      <c r="Y271" s="231"/>
    </row>
    <row r="272" spans="1:25" s="230" customFormat="1" ht="15.6" x14ac:dyDescent="0.3">
      <c r="A272" s="202">
        <v>533</v>
      </c>
      <c r="B272" s="204" t="s">
        <v>369</v>
      </c>
      <c r="C272" s="225"/>
      <c r="D272" s="207">
        <v>89.186999999999998</v>
      </c>
      <c r="E272" s="207">
        <v>99.3</v>
      </c>
      <c r="F272" s="229">
        <v>68.400000000000006</v>
      </c>
      <c r="G272" s="229">
        <v>10.222</v>
      </c>
      <c r="H272" s="229">
        <v>0.63700000000000001</v>
      </c>
      <c r="I272" s="229">
        <v>4.1000000000000002E-2</v>
      </c>
      <c r="J272" s="229">
        <v>0.55300000000000005</v>
      </c>
      <c r="K272" s="235">
        <f t="shared" si="5"/>
        <v>0</v>
      </c>
      <c r="L272" s="229">
        <v>0.21299999999999999</v>
      </c>
      <c r="M272" s="229">
        <v>0.12</v>
      </c>
      <c r="N272" s="229">
        <v>0.14499999999999999</v>
      </c>
      <c r="O272" s="229">
        <v>3.5089999999999999</v>
      </c>
      <c r="P272" s="229">
        <v>87.783000000000001</v>
      </c>
      <c r="Q272" s="229">
        <v>13.19</v>
      </c>
      <c r="R272" s="207">
        <v>0.11</v>
      </c>
      <c r="S272" s="229">
        <v>40.122</v>
      </c>
      <c r="T272" s="229">
        <v>86.447999999999993</v>
      </c>
      <c r="U272" s="229">
        <v>6.9379999999999997</v>
      </c>
      <c r="V272" s="229">
        <v>3.722</v>
      </c>
      <c r="W272" s="229">
        <v>5.6230000000000002</v>
      </c>
      <c r="X272" s="229">
        <v>16.68</v>
      </c>
      <c r="Y272" s="207">
        <v>9</v>
      </c>
    </row>
    <row r="273" spans="1:25" s="230" customFormat="1" ht="15.6" x14ac:dyDescent="0.3">
      <c r="A273" s="202">
        <v>534</v>
      </c>
      <c r="B273" s="204" t="s">
        <v>370</v>
      </c>
      <c r="C273" s="225"/>
      <c r="D273" s="207">
        <v>90.486999999999995</v>
      </c>
      <c r="E273" s="207">
        <v>77.900000000000006</v>
      </c>
      <c r="F273" s="229">
        <v>49.8</v>
      </c>
      <c r="G273" s="229">
        <v>36.036000000000001</v>
      </c>
      <c r="H273" s="229">
        <v>1.2170000000000001</v>
      </c>
      <c r="I273" s="229">
        <v>0.432</v>
      </c>
      <c r="J273" s="229">
        <v>0.94299999999999995</v>
      </c>
      <c r="K273" s="235">
        <f t="shared" si="5"/>
        <v>0</v>
      </c>
      <c r="L273" s="229">
        <v>0.57899999999999996</v>
      </c>
      <c r="M273" s="229">
        <v>0.35799999999999998</v>
      </c>
      <c r="N273" s="229">
        <v>0</v>
      </c>
      <c r="O273" s="229">
        <v>18.588999999999999</v>
      </c>
      <c r="P273" s="229">
        <v>294.98500000000001</v>
      </c>
      <c r="Q273" s="229">
        <v>50.256</v>
      </c>
      <c r="R273" s="231"/>
      <c r="S273" s="229">
        <v>69.671000000000006</v>
      </c>
      <c r="T273" s="229">
        <v>71.915999999999997</v>
      </c>
      <c r="U273" s="229">
        <v>12.061</v>
      </c>
      <c r="V273" s="229">
        <v>9.2200000000000006</v>
      </c>
      <c r="W273" s="229">
        <v>17.609000000000002</v>
      </c>
      <c r="X273" s="229">
        <v>32.707999999999998</v>
      </c>
      <c r="Y273" s="231"/>
    </row>
    <row r="274" spans="1:25" s="230" customFormat="1" ht="15.6" x14ac:dyDescent="0.3">
      <c r="A274" s="202">
        <v>535</v>
      </c>
      <c r="B274" s="204" t="s">
        <v>371</v>
      </c>
      <c r="C274" s="225"/>
      <c r="D274" s="207">
        <v>91.426000000000002</v>
      </c>
      <c r="E274" s="207">
        <v>92.600000000000009</v>
      </c>
      <c r="F274" s="229">
        <v>62.6</v>
      </c>
      <c r="G274" s="229">
        <v>32.515000000000001</v>
      </c>
      <c r="H274" s="229">
        <v>0.93500000000000005</v>
      </c>
      <c r="I274" s="229">
        <v>0.28999999999999998</v>
      </c>
      <c r="J274" s="229">
        <v>0.40100000000000002</v>
      </c>
      <c r="K274" s="235">
        <f t="shared" si="5"/>
        <v>0</v>
      </c>
      <c r="L274" s="229">
        <v>0.18099999999999999</v>
      </c>
      <c r="M274" s="229">
        <v>0.215</v>
      </c>
      <c r="N274" s="229">
        <v>0.96199999999999997</v>
      </c>
      <c r="O274" s="229">
        <v>6.8739999999999997</v>
      </c>
      <c r="P274" s="229">
        <v>114.979</v>
      </c>
      <c r="Q274" s="229">
        <v>278.63499999999999</v>
      </c>
      <c r="R274" s="231"/>
      <c r="S274" s="229">
        <v>35.564</v>
      </c>
      <c r="T274" s="229">
        <v>81.281999999999996</v>
      </c>
      <c r="U274" s="229">
        <v>6.5469999999999997</v>
      </c>
      <c r="V274" s="229">
        <v>19.792000000000002</v>
      </c>
      <c r="W274" s="229">
        <v>21.163</v>
      </c>
      <c r="X274" s="229">
        <v>28.276</v>
      </c>
      <c r="Y274" s="231"/>
    </row>
    <row r="275" spans="1:25" s="230" customFormat="1" ht="15.6" x14ac:dyDescent="0.3">
      <c r="A275" s="202">
        <v>536</v>
      </c>
      <c r="B275" s="204" t="s">
        <v>372</v>
      </c>
      <c r="C275" s="225"/>
      <c r="D275" s="207">
        <v>92.253</v>
      </c>
      <c r="E275" s="207">
        <v>68</v>
      </c>
      <c r="F275" s="229">
        <v>41.099999999999994</v>
      </c>
      <c r="G275" s="229">
        <v>23.7</v>
      </c>
      <c r="H275" s="229">
        <v>1.2290000000000001</v>
      </c>
      <c r="I275" s="229">
        <v>0.21199999999999999</v>
      </c>
      <c r="J275" s="229">
        <v>0.6</v>
      </c>
      <c r="K275" s="235">
        <f t="shared" si="5"/>
        <v>0</v>
      </c>
      <c r="L275" s="229">
        <v>0.17</v>
      </c>
      <c r="M275" s="229">
        <v>0.313</v>
      </c>
      <c r="N275" s="229">
        <v>0</v>
      </c>
      <c r="O275" s="229">
        <v>9.8949999999999996</v>
      </c>
      <c r="P275" s="229">
        <v>248.114</v>
      </c>
      <c r="Q275" s="229">
        <v>45.856000000000002</v>
      </c>
      <c r="R275" s="231"/>
      <c r="S275" s="229">
        <v>64.370999999999995</v>
      </c>
      <c r="T275" s="229">
        <v>67.739000000000004</v>
      </c>
      <c r="U275" s="229">
        <v>2.1219999999999999</v>
      </c>
      <c r="V275" s="229">
        <v>12.36</v>
      </c>
      <c r="W275" s="229">
        <v>18.846</v>
      </c>
      <c r="X275" s="229">
        <v>42.645000000000003</v>
      </c>
      <c r="Y275" s="231"/>
    </row>
    <row r="276" spans="1:25" s="230" customFormat="1" ht="15.6" x14ac:dyDescent="0.3">
      <c r="A276" s="202">
        <v>537</v>
      </c>
      <c r="B276" s="204" t="s">
        <v>373</v>
      </c>
      <c r="C276" s="225"/>
      <c r="D276" s="207">
        <v>94.082999999999998</v>
      </c>
      <c r="E276" s="207">
        <v>82.8</v>
      </c>
      <c r="F276" s="229">
        <v>54.2</v>
      </c>
      <c r="G276" s="229">
        <v>58.454000000000001</v>
      </c>
      <c r="H276" s="229">
        <v>0.45100000000000001</v>
      </c>
      <c r="I276" s="229">
        <v>10.433999999999999</v>
      </c>
      <c r="J276" s="229">
        <v>4.8869999999999996</v>
      </c>
      <c r="K276" s="235">
        <f t="shared" si="5"/>
        <v>0</v>
      </c>
      <c r="L276" s="229">
        <v>0.39800000000000002</v>
      </c>
      <c r="M276" s="229">
        <v>0.61499999999999999</v>
      </c>
      <c r="N276" s="229">
        <v>0.13600000000000001</v>
      </c>
      <c r="O276" s="229">
        <v>124.081</v>
      </c>
      <c r="P276" s="229">
        <v>572.077</v>
      </c>
      <c r="Q276" s="229">
        <v>391.52100000000002</v>
      </c>
      <c r="R276" s="231"/>
      <c r="S276" s="229">
        <v>468.66699999999997</v>
      </c>
      <c r="T276" s="229">
        <v>69.248999999999995</v>
      </c>
      <c r="U276" s="229">
        <v>14.000999999999999</v>
      </c>
      <c r="V276" s="229">
        <v>1.526</v>
      </c>
      <c r="W276" s="229">
        <v>0</v>
      </c>
      <c r="X276" s="229">
        <v>26.698</v>
      </c>
      <c r="Y276" s="231"/>
    </row>
    <row r="277" spans="1:25" s="230" customFormat="1" ht="15.6" x14ac:dyDescent="0.3">
      <c r="A277" s="202">
        <v>538</v>
      </c>
      <c r="B277" s="204" t="s">
        <v>374</v>
      </c>
      <c r="C277" s="225"/>
      <c r="D277" s="207">
        <v>95.667000000000002</v>
      </c>
      <c r="E277" s="207">
        <v>78.7</v>
      </c>
      <c r="F277" s="229">
        <v>50.5</v>
      </c>
      <c r="G277" s="229">
        <v>58.570999999999998</v>
      </c>
      <c r="H277" s="229">
        <v>0.56499999999999995</v>
      </c>
      <c r="I277" s="229">
        <v>7.8890000000000002</v>
      </c>
      <c r="J277" s="229">
        <v>3.9289999999999998</v>
      </c>
      <c r="K277" s="235">
        <f t="shared" si="5"/>
        <v>0</v>
      </c>
      <c r="L277" s="229">
        <v>0.20899999999999999</v>
      </c>
      <c r="M277" s="229">
        <v>0.45200000000000001</v>
      </c>
      <c r="N277" s="229">
        <v>0</v>
      </c>
      <c r="O277" s="229">
        <v>18.893000000000001</v>
      </c>
      <c r="P277" s="229">
        <v>372.62</v>
      </c>
      <c r="Q277" s="229">
        <v>16.757999999999999</v>
      </c>
      <c r="R277" s="231"/>
      <c r="S277" s="229">
        <v>130.33699999999999</v>
      </c>
      <c r="T277" s="229">
        <v>66.846999999999994</v>
      </c>
      <c r="U277" s="229">
        <v>14.224</v>
      </c>
      <c r="V277" s="229">
        <v>0.55800000000000005</v>
      </c>
      <c r="W277" s="229">
        <v>28.536000000000001</v>
      </c>
      <c r="X277" s="229">
        <v>0</v>
      </c>
      <c r="Y277" s="231"/>
    </row>
    <row r="278" spans="1:25" s="230" customFormat="1" ht="15.6" x14ac:dyDescent="0.3">
      <c r="A278" s="202">
        <v>539</v>
      </c>
      <c r="B278" s="204" t="s">
        <v>375</v>
      </c>
      <c r="C278" s="225"/>
      <c r="D278" s="207">
        <v>91.570999999999998</v>
      </c>
      <c r="E278" s="207">
        <v>138.19999999999999</v>
      </c>
      <c r="F278" s="229">
        <v>99.7</v>
      </c>
      <c r="G278" s="229">
        <v>26.552</v>
      </c>
      <c r="H278" s="229">
        <v>1.7509999999999999</v>
      </c>
      <c r="I278" s="229">
        <v>0.92900000000000005</v>
      </c>
      <c r="J278" s="229">
        <v>0.77200000000000002</v>
      </c>
      <c r="K278" s="235">
        <f t="shared" si="5"/>
        <v>0</v>
      </c>
      <c r="L278" s="229">
        <v>0.125</v>
      </c>
      <c r="M278" s="229">
        <v>0.35699999999999998</v>
      </c>
      <c r="N278" s="229">
        <v>0.74</v>
      </c>
      <c r="O278" s="229">
        <v>10.352</v>
      </c>
      <c r="P278" s="229">
        <v>160.83199999999999</v>
      </c>
      <c r="Q278" s="229">
        <v>40.299999999999997</v>
      </c>
      <c r="R278" s="231"/>
      <c r="S278" s="229">
        <v>73.650000000000006</v>
      </c>
      <c r="T278" s="229">
        <v>108.164</v>
      </c>
      <c r="U278" s="229">
        <v>20.858000000000001</v>
      </c>
      <c r="V278" s="229">
        <v>1.153</v>
      </c>
      <c r="W278" s="229">
        <v>0</v>
      </c>
      <c r="X278" s="229">
        <v>1.9</v>
      </c>
      <c r="Y278" s="231"/>
    </row>
    <row r="279" spans="1:25" s="230" customFormat="1" ht="15.6" x14ac:dyDescent="0.3">
      <c r="A279" s="202">
        <v>540</v>
      </c>
      <c r="B279" s="204" t="s">
        <v>376</v>
      </c>
      <c r="C279" s="225"/>
      <c r="D279" s="207">
        <v>83.546000000000006</v>
      </c>
      <c r="E279" s="207">
        <v>84.7</v>
      </c>
      <c r="F279" s="229">
        <v>55.800000000000004</v>
      </c>
      <c r="G279" s="229">
        <v>11.8</v>
      </c>
      <c r="H279" s="229">
        <v>0.38200000000000001</v>
      </c>
      <c r="I279" s="229">
        <v>0.82599999999999996</v>
      </c>
      <c r="J279" s="229">
        <v>0.30199999999999999</v>
      </c>
      <c r="K279" s="235">
        <f t="shared" si="5"/>
        <v>0</v>
      </c>
      <c r="L279" s="229">
        <v>0.14899999999999999</v>
      </c>
      <c r="M279" s="229">
        <v>0.38500000000000001</v>
      </c>
      <c r="N279" s="229">
        <v>0.59799999999999998</v>
      </c>
      <c r="O279" s="229">
        <v>6.2789999999999999</v>
      </c>
      <c r="P279" s="229">
        <v>147.62700000000001</v>
      </c>
      <c r="Q279" s="229">
        <v>22.2</v>
      </c>
      <c r="R279" s="231"/>
      <c r="S279" s="229">
        <v>26.222000000000001</v>
      </c>
      <c r="T279" s="229">
        <v>77.152000000000001</v>
      </c>
      <c r="U279" s="229">
        <v>3.052</v>
      </c>
      <c r="V279" s="229">
        <v>9.4960000000000004</v>
      </c>
      <c r="W279" s="229">
        <v>12.013</v>
      </c>
      <c r="X279" s="229">
        <v>20.536000000000001</v>
      </c>
      <c r="Y279" s="231"/>
    </row>
    <row r="280" spans="1:25" s="230" customFormat="1" ht="15.6" x14ac:dyDescent="0.3">
      <c r="A280" s="202">
        <v>541</v>
      </c>
      <c r="B280" s="204" t="s">
        <v>377</v>
      </c>
      <c r="C280" s="225"/>
      <c r="D280" s="207">
        <v>89.531999999999996</v>
      </c>
      <c r="E280" s="207">
        <v>92.9</v>
      </c>
      <c r="F280" s="229">
        <v>62.8</v>
      </c>
      <c r="G280" s="229">
        <v>10.907999999999999</v>
      </c>
      <c r="H280" s="229">
        <v>0.503</v>
      </c>
      <c r="I280" s="229">
        <v>0.151</v>
      </c>
      <c r="J280" s="229">
        <v>0.35499999999999998</v>
      </c>
      <c r="K280" s="235">
        <f t="shared" si="5"/>
        <v>0</v>
      </c>
      <c r="L280" s="229">
        <v>0.17599999999999999</v>
      </c>
      <c r="M280" s="229">
        <v>0.11</v>
      </c>
      <c r="N280" s="229">
        <v>0.64900000000000002</v>
      </c>
      <c r="O280" s="229">
        <v>4.4459999999999997</v>
      </c>
      <c r="P280" s="229">
        <v>53.314</v>
      </c>
      <c r="Q280" s="229">
        <v>20.140999999999998</v>
      </c>
      <c r="R280" s="207">
        <v>0.22</v>
      </c>
      <c r="S280" s="229">
        <v>22.324000000000002</v>
      </c>
      <c r="T280" s="229">
        <v>83.540999999999997</v>
      </c>
      <c r="U280" s="229">
        <v>3.431</v>
      </c>
      <c r="V280" s="229">
        <v>2.7069999999999999</v>
      </c>
      <c r="W280" s="229">
        <v>9.1620000000000008</v>
      </c>
      <c r="X280" s="229">
        <v>15.858000000000001</v>
      </c>
      <c r="Y280" s="207">
        <v>34</v>
      </c>
    </row>
    <row r="281" spans="1:25" s="230" customFormat="1" ht="15.6" x14ac:dyDescent="0.3">
      <c r="A281" s="202">
        <v>542</v>
      </c>
      <c r="B281" s="204" t="s">
        <v>378</v>
      </c>
      <c r="C281" s="225"/>
      <c r="D281" s="207">
        <v>73.088999999999999</v>
      </c>
      <c r="E281" s="207">
        <v>77</v>
      </c>
      <c r="F281" s="229">
        <v>49</v>
      </c>
      <c r="G281" s="229">
        <v>8.8249999999999993</v>
      </c>
      <c r="H281" s="229">
        <v>3.88</v>
      </c>
      <c r="I281" s="229">
        <v>1.0029999999999999</v>
      </c>
      <c r="J281" s="229">
        <v>0.247</v>
      </c>
      <c r="K281" s="235">
        <f t="shared" si="5"/>
        <v>0</v>
      </c>
      <c r="L281" s="229">
        <v>0.34200000000000003</v>
      </c>
      <c r="M281" s="229">
        <v>1.0029999999999999</v>
      </c>
      <c r="N281" s="229">
        <v>2.8660000000000001</v>
      </c>
      <c r="O281" s="229">
        <v>23.436</v>
      </c>
      <c r="P281" s="229">
        <v>278.74200000000002</v>
      </c>
      <c r="Q281" s="229">
        <v>61.353000000000002</v>
      </c>
      <c r="R281" s="231"/>
      <c r="S281" s="229">
        <v>70.790000000000006</v>
      </c>
      <c r="T281" s="229">
        <v>72</v>
      </c>
      <c r="U281" s="229">
        <v>2.323</v>
      </c>
      <c r="V281" s="229">
        <v>1.077</v>
      </c>
      <c r="W281" s="229">
        <v>0.38700000000000001</v>
      </c>
      <c r="X281" s="229">
        <v>0.80400000000000005</v>
      </c>
      <c r="Y281" s="231"/>
    </row>
    <row r="282" spans="1:25" s="230" customFormat="1" ht="15.6" x14ac:dyDescent="0.3">
      <c r="A282" s="202">
        <v>543</v>
      </c>
      <c r="B282" s="203" t="s">
        <v>35</v>
      </c>
      <c r="C282" s="226"/>
      <c r="D282" s="207">
        <v>90</v>
      </c>
      <c r="E282" s="207">
        <v>96</v>
      </c>
      <c r="F282" s="207">
        <v>64</v>
      </c>
      <c r="G282" s="207">
        <v>25.38</v>
      </c>
      <c r="H282" s="207">
        <v>0.5</v>
      </c>
      <c r="I282" s="207">
        <v>0.15</v>
      </c>
      <c r="J282" s="207">
        <v>0.39</v>
      </c>
      <c r="K282" s="235">
        <f t="shared" si="5"/>
        <v>0</v>
      </c>
      <c r="L282" s="207"/>
      <c r="M282" s="207"/>
      <c r="N282" s="207"/>
      <c r="O282" s="207"/>
      <c r="P282" s="207"/>
      <c r="Q282" s="207"/>
      <c r="R282" s="207"/>
      <c r="S282" s="207"/>
      <c r="T282" s="207">
        <v>88.33</v>
      </c>
      <c r="U282" s="207">
        <v>1.33</v>
      </c>
      <c r="V282" s="207">
        <v>3.67</v>
      </c>
      <c r="W282" s="207">
        <v>8</v>
      </c>
      <c r="X282" s="207">
        <v>20</v>
      </c>
      <c r="Y282" s="207">
        <v>0</v>
      </c>
    </row>
    <row r="283" spans="1:25" s="230" customFormat="1" ht="15.6" x14ac:dyDescent="0.3">
      <c r="A283" s="202">
        <v>544</v>
      </c>
      <c r="B283" s="204" t="s">
        <v>379</v>
      </c>
      <c r="C283" s="225"/>
      <c r="D283" s="207">
        <v>91.858999999999995</v>
      </c>
      <c r="E283" s="207">
        <v>45.4</v>
      </c>
      <c r="F283" s="229">
        <v>20.399999999999999</v>
      </c>
      <c r="G283" s="229">
        <v>7.2560000000000002</v>
      </c>
      <c r="H283" s="229">
        <v>0.63600000000000001</v>
      </c>
      <c r="I283" s="229">
        <v>0.16300000000000001</v>
      </c>
      <c r="J283" s="229">
        <v>0.217</v>
      </c>
      <c r="K283" s="235">
        <f t="shared" si="5"/>
        <v>0</v>
      </c>
      <c r="L283" s="229">
        <v>0.13800000000000001</v>
      </c>
      <c r="M283" s="229">
        <v>0.09</v>
      </c>
      <c r="N283" s="229">
        <v>0.35499999999999998</v>
      </c>
      <c r="O283" s="229">
        <v>8.298</v>
      </c>
      <c r="P283" s="229">
        <v>240.31</v>
      </c>
      <c r="Q283" s="229">
        <v>49.655999999999999</v>
      </c>
      <c r="R283" s="231"/>
      <c r="S283" s="229">
        <v>28.515999999999998</v>
      </c>
      <c r="T283" s="229">
        <v>54.212000000000003</v>
      </c>
      <c r="U283" s="229">
        <v>3.1549999999999998</v>
      </c>
      <c r="V283" s="229">
        <v>16.398</v>
      </c>
      <c r="W283" s="229">
        <v>35.524000000000001</v>
      </c>
      <c r="X283" s="229">
        <v>64.700999999999993</v>
      </c>
      <c r="Y283" s="231"/>
    </row>
    <row r="284" spans="1:25" s="230" customFormat="1" ht="15.6" x14ac:dyDescent="0.3">
      <c r="A284" s="202">
        <v>545</v>
      </c>
      <c r="B284" s="203" t="s">
        <v>31</v>
      </c>
      <c r="C284" s="226"/>
      <c r="D284" s="207">
        <v>89</v>
      </c>
      <c r="E284" s="207">
        <v>77</v>
      </c>
      <c r="F284" s="207">
        <v>52</v>
      </c>
      <c r="G284" s="207">
        <v>12.3</v>
      </c>
      <c r="H284" s="207">
        <v>0.42</v>
      </c>
      <c r="I284" s="207">
        <v>0.09</v>
      </c>
      <c r="J284" s="207">
        <v>0.33</v>
      </c>
      <c r="K284" s="235">
        <f t="shared" si="5"/>
        <v>0</v>
      </c>
      <c r="L284" s="207">
        <v>0.14000000000000001</v>
      </c>
      <c r="M284" s="207">
        <v>0.23</v>
      </c>
      <c r="N284" s="207">
        <v>0.06</v>
      </c>
      <c r="O284" s="207">
        <v>7</v>
      </c>
      <c r="P284" s="207">
        <v>85</v>
      </c>
      <c r="Q284" s="207">
        <v>42</v>
      </c>
      <c r="R284" s="207">
        <v>0.26</v>
      </c>
      <c r="S284" s="207">
        <v>41</v>
      </c>
      <c r="T284" s="207">
        <v>75</v>
      </c>
      <c r="U284" s="207">
        <v>5.4</v>
      </c>
      <c r="V284" s="207">
        <v>12.1</v>
      </c>
      <c r="W284" s="207">
        <v>15</v>
      </c>
      <c r="X284" s="207">
        <v>30</v>
      </c>
      <c r="Y284" s="207">
        <v>34</v>
      </c>
    </row>
    <row r="285" spans="1:25" s="230" customFormat="1" ht="15.6" x14ac:dyDescent="0.3">
      <c r="A285" s="202">
        <v>546</v>
      </c>
      <c r="B285" s="204" t="s">
        <v>380</v>
      </c>
      <c r="C285" s="225"/>
      <c r="D285" s="207">
        <v>89.763000000000005</v>
      </c>
      <c r="E285" s="207">
        <v>70.599999999999994</v>
      </c>
      <c r="F285" s="229">
        <v>43.3</v>
      </c>
      <c r="G285" s="229">
        <v>16.806999999999999</v>
      </c>
      <c r="H285" s="229">
        <v>0.755</v>
      </c>
      <c r="I285" s="229">
        <v>0.40500000000000003</v>
      </c>
      <c r="J285" s="229">
        <v>0.61699999999999999</v>
      </c>
      <c r="K285" s="235">
        <f t="shared" si="5"/>
        <v>0</v>
      </c>
      <c r="L285" s="229">
        <v>0.29399999999999998</v>
      </c>
      <c r="M285" s="229">
        <v>0.20100000000000001</v>
      </c>
      <c r="N285" s="229">
        <v>1.607</v>
      </c>
      <c r="O285" s="229">
        <v>24.27</v>
      </c>
      <c r="P285" s="229">
        <v>1311.905</v>
      </c>
      <c r="Q285" s="229">
        <v>262.97000000000003</v>
      </c>
      <c r="R285" s="231"/>
      <c r="S285" s="229">
        <v>42.954999999999998</v>
      </c>
      <c r="T285" s="229">
        <v>67.751999999999995</v>
      </c>
      <c r="U285" s="229">
        <v>9.1259999999999994</v>
      </c>
      <c r="V285" s="229">
        <v>18.789000000000001</v>
      </c>
      <c r="W285" s="229">
        <v>39.645000000000003</v>
      </c>
      <c r="X285" s="229">
        <v>63.656999999999996</v>
      </c>
      <c r="Y285" s="231"/>
    </row>
    <row r="286" spans="1:25" s="230" customFormat="1" ht="15.6" x14ac:dyDescent="0.3">
      <c r="A286" s="202">
        <v>547</v>
      </c>
      <c r="B286" s="204" t="s">
        <v>381</v>
      </c>
      <c r="C286" s="225"/>
      <c r="D286" s="207">
        <v>89.629000000000005</v>
      </c>
      <c r="E286" s="207">
        <v>105.60000000000001</v>
      </c>
      <c r="F286" s="229">
        <v>73.3</v>
      </c>
      <c r="G286" s="229">
        <v>12.093</v>
      </c>
      <c r="H286" s="229">
        <v>0.214</v>
      </c>
      <c r="I286" s="229">
        <v>0.104</v>
      </c>
      <c r="J286" s="229">
        <v>0.155</v>
      </c>
      <c r="K286" s="235">
        <f t="shared" si="5"/>
        <v>0</v>
      </c>
      <c r="L286" s="229">
        <v>4.1000000000000002E-2</v>
      </c>
      <c r="M286" s="229">
        <v>0.122</v>
      </c>
      <c r="N286" s="229">
        <v>0</v>
      </c>
      <c r="O286" s="229">
        <v>1.6910000000000001</v>
      </c>
      <c r="P286" s="229">
        <v>38.765000000000001</v>
      </c>
      <c r="Q286" s="229">
        <v>8.2080000000000002</v>
      </c>
      <c r="R286" s="231"/>
      <c r="S286" s="229">
        <v>9.9990000000000006</v>
      </c>
      <c r="T286" s="229">
        <v>91.847999999999999</v>
      </c>
      <c r="U286" s="229">
        <v>6.218</v>
      </c>
      <c r="V286" s="229">
        <v>0.77600000000000002</v>
      </c>
      <c r="W286" s="229">
        <v>2.1110000000000002</v>
      </c>
      <c r="X286" s="229">
        <v>3.1190000000000002</v>
      </c>
      <c r="Y286" s="231"/>
    </row>
    <row r="287" spans="1:25" s="230" customFormat="1" ht="15.6" x14ac:dyDescent="0.3">
      <c r="A287" s="202">
        <v>548</v>
      </c>
      <c r="B287" s="204" t="s">
        <v>382</v>
      </c>
      <c r="C287" s="225"/>
      <c r="D287" s="207">
        <v>94.191999999999993</v>
      </c>
      <c r="E287" s="207">
        <v>88.8</v>
      </c>
      <c r="F287" s="229">
        <v>58.9</v>
      </c>
      <c r="G287" s="229">
        <v>43.954999999999998</v>
      </c>
      <c r="H287" s="229">
        <v>1.173</v>
      </c>
      <c r="I287" s="229">
        <v>0.20899999999999999</v>
      </c>
      <c r="J287" s="229">
        <v>0.61399999999999999</v>
      </c>
      <c r="K287" s="235">
        <f t="shared" si="5"/>
        <v>0</v>
      </c>
      <c r="L287" s="229">
        <v>0.32900000000000001</v>
      </c>
      <c r="M287" s="229">
        <v>0.26600000000000001</v>
      </c>
      <c r="N287" s="229">
        <v>1.1930000000000001</v>
      </c>
      <c r="O287" s="229">
        <v>14.997</v>
      </c>
      <c r="P287" s="229">
        <v>595.05399999999997</v>
      </c>
      <c r="Q287" s="229">
        <v>33.453000000000003</v>
      </c>
      <c r="R287" s="207">
        <v>0.12</v>
      </c>
      <c r="S287" s="229">
        <v>51.228999999999999</v>
      </c>
      <c r="T287" s="229">
        <v>79.067999999999998</v>
      </c>
      <c r="U287" s="229">
        <v>8.7609999999999992</v>
      </c>
      <c r="V287" s="229">
        <v>9.6080000000000005</v>
      </c>
      <c r="W287" s="229">
        <v>15.631</v>
      </c>
      <c r="X287" s="229">
        <v>24.446999999999999</v>
      </c>
      <c r="Y287" s="207">
        <v>23</v>
      </c>
    </row>
    <row r="288" spans="1:25" s="230" customFormat="1" ht="15.6" x14ac:dyDescent="0.3">
      <c r="A288" s="202">
        <v>549</v>
      </c>
      <c r="B288" s="204" t="s">
        <v>383</v>
      </c>
      <c r="C288" s="225"/>
      <c r="D288" s="207">
        <v>89.102999999999994</v>
      </c>
      <c r="E288" s="207">
        <v>86.4</v>
      </c>
      <c r="F288" s="229">
        <v>57.3</v>
      </c>
      <c r="G288" s="229">
        <v>24.03</v>
      </c>
      <c r="H288" s="229">
        <v>1.113</v>
      </c>
      <c r="I288" s="229">
        <v>0.14099999999999999</v>
      </c>
      <c r="J288" s="229">
        <v>0.41899999999999998</v>
      </c>
      <c r="K288" s="235">
        <f t="shared" si="5"/>
        <v>0</v>
      </c>
      <c r="L288" s="229">
        <v>0.151</v>
      </c>
      <c r="M288" s="229">
        <v>0.17799999999999999</v>
      </c>
      <c r="N288" s="229">
        <v>0.26800000000000002</v>
      </c>
      <c r="O288" s="229">
        <v>8.1780000000000008</v>
      </c>
      <c r="P288" s="229">
        <v>193.024</v>
      </c>
      <c r="Q288" s="229">
        <v>18.670999999999999</v>
      </c>
      <c r="R288" s="231"/>
      <c r="S288" s="229">
        <v>38.179000000000002</v>
      </c>
      <c r="T288" s="229">
        <v>79.236000000000004</v>
      </c>
      <c r="U288" s="229">
        <v>2.0289999999999999</v>
      </c>
      <c r="V288" s="229">
        <v>3.7250000000000001</v>
      </c>
      <c r="W288" s="229">
        <v>8.9009999999999998</v>
      </c>
      <c r="X288" s="229">
        <v>13.766</v>
      </c>
      <c r="Y288" s="231"/>
    </row>
    <row r="289" spans="1:25" s="230" customFormat="1" ht="15.6" x14ac:dyDescent="0.3">
      <c r="A289" s="202">
        <v>550</v>
      </c>
      <c r="B289" s="204" t="s">
        <v>384</v>
      </c>
      <c r="C289" s="225"/>
      <c r="D289" s="207">
        <v>90.664000000000001</v>
      </c>
      <c r="E289" s="207">
        <v>112.4</v>
      </c>
      <c r="F289" s="229">
        <v>79.100000000000009</v>
      </c>
      <c r="G289" s="229">
        <v>23.556999999999999</v>
      </c>
      <c r="H289" s="229">
        <v>0.84899999999999998</v>
      </c>
      <c r="I289" s="229">
        <v>1.63</v>
      </c>
      <c r="J289" s="229">
        <v>1.1140000000000001</v>
      </c>
      <c r="K289" s="235">
        <f t="shared" si="5"/>
        <v>0</v>
      </c>
      <c r="L289" s="229">
        <v>0.17899999999999999</v>
      </c>
      <c r="M289" s="229">
        <v>0.34599999999999997</v>
      </c>
      <c r="N289" s="229">
        <v>1.0229999999999999</v>
      </c>
      <c r="O289" s="229">
        <v>22.004999999999999</v>
      </c>
      <c r="P289" s="229">
        <v>324.61399999999998</v>
      </c>
      <c r="Q289" s="229">
        <v>62.975999999999999</v>
      </c>
      <c r="R289" s="231"/>
      <c r="S289" s="229">
        <v>189.887</v>
      </c>
      <c r="T289" s="229">
        <v>92.763999999999996</v>
      </c>
      <c r="U289" s="229">
        <v>14.148</v>
      </c>
      <c r="V289" s="229">
        <v>2.7530000000000001</v>
      </c>
      <c r="W289" s="229">
        <v>7.4980000000000002</v>
      </c>
      <c r="X289" s="229">
        <v>17.484999999999999</v>
      </c>
      <c r="Y289" s="231"/>
    </row>
    <row r="290" spans="1:25" s="230" customFormat="1" ht="15.6" x14ac:dyDescent="0.3">
      <c r="A290" s="202">
        <v>551</v>
      </c>
      <c r="B290" s="204" t="s">
        <v>385</v>
      </c>
      <c r="C290" s="225"/>
      <c r="D290" s="207">
        <v>22.096</v>
      </c>
      <c r="E290" s="207">
        <v>82.699999999999989</v>
      </c>
      <c r="F290" s="229">
        <v>53.7</v>
      </c>
      <c r="G290" s="229">
        <v>8.6189999999999998</v>
      </c>
      <c r="H290" s="229">
        <v>0.309</v>
      </c>
      <c r="I290" s="229">
        <v>1.0389999999999999</v>
      </c>
      <c r="J290" s="229">
        <v>0.247</v>
      </c>
      <c r="K290" s="235">
        <f t="shared" si="5"/>
        <v>0</v>
      </c>
      <c r="L290" s="229">
        <v>0.06</v>
      </c>
      <c r="M290" s="229">
        <v>8.5999999999999993E-2</v>
      </c>
      <c r="N290" s="229">
        <v>0</v>
      </c>
      <c r="O290" s="229">
        <v>8.1180000000000003</v>
      </c>
      <c r="P290" s="229">
        <v>631.92499999999995</v>
      </c>
      <c r="Q290" s="229">
        <v>24.596</v>
      </c>
      <c r="R290" s="231"/>
      <c r="S290" s="229">
        <v>28.596</v>
      </c>
      <c r="T290" s="229">
        <v>76.58</v>
      </c>
      <c r="U290" s="229">
        <v>12.749000000000001</v>
      </c>
      <c r="V290" s="229">
        <v>17.263000000000002</v>
      </c>
      <c r="W290" s="229">
        <v>23.06</v>
      </c>
      <c r="X290" s="229">
        <v>34.636000000000003</v>
      </c>
      <c r="Y290" s="231"/>
    </row>
    <row r="291" spans="1:25" s="230" customFormat="1" ht="15.6" x14ac:dyDescent="0.3">
      <c r="A291" s="202">
        <v>552</v>
      </c>
      <c r="B291" s="204" t="s">
        <v>386</v>
      </c>
      <c r="C291" s="225"/>
      <c r="D291" s="207">
        <v>23.866</v>
      </c>
      <c r="E291" s="207">
        <v>89.3</v>
      </c>
      <c r="F291" s="229">
        <v>59.8</v>
      </c>
      <c r="G291" s="229">
        <v>11.375999999999999</v>
      </c>
      <c r="H291" s="229">
        <v>2.145</v>
      </c>
      <c r="I291" s="229">
        <v>0.14099999999999999</v>
      </c>
      <c r="J291" s="229">
        <v>0.29399999999999998</v>
      </c>
      <c r="K291" s="235">
        <f t="shared" si="5"/>
        <v>0</v>
      </c>
      <c r="L291" s="229">
        <v>0.11899999999999999</v>
      </c>
      <c r="M291" s="229">
        <v>0.14199999999999999</v>
      </c>
      <c r="N291" s="229">
        <v>0.93500000000000005</v>
      </c>
      <c r="O291" s="229">
        <v>5.6859999999999999</v>
      </c>
      <c r="P291" s="229">
        <v>329.97500000000002</v>
      </c>
      <c r="Q291" s="229">
        <v>15.321999999999999</v>
      </c>
      <c r="R291" s="231"/>
      <c r="S291" s="229">
        <v>19.398</v>
      </c>
      <c r="T291" s="229">
        <v>81.367999999999995</v>
      </c>
      <c r="U291" s="229">
        <v>3.6720000000000002</v>
      </c>
      <c r="V291" s="229">
        <v>0</v>
      </c>
      <c r="W291" s="229">
        <v>7.6719999999999997</v>
      </c>
      <c r="X291" s="229">
        <v>11.141999999999999</v>
      </c>
      <c r="Y291" s="231"/>
    </row>
    <row r="292" spans="1:25" s="230" customFormat="1" ht="15.6" x14ac:dyDescent="0.3">
      <c r="A292" s="202">
        <v>553</v>
      </c>
      <c r="B292" s="204" t="s">
        <v>387</v>
      </c>
      <c r="C292" s="225"/>
      <c r="D292" s="207">
        <v>95.125</v>
      </c>
      <c r="E292" s="207">
        <v>90.7</v>
      </c>
      <c r="F292" s="229">
        <v>61</v>
      </c>
      <c r="G292" s="229">
        <v>67.355999999999995</v>
      </c>
      <c r="H292" s="229">
        <v>0.91300000000000003</v>
      </c>
      <c r="I292" s="229">
        <v>4.0380000000000003</v>
      </c>
      <c r="J292" s="229">
        <v>2.4049999999999998</v>
      </c>
      <c r="K292" s="235">
        <f t="shared" si="5"/>
        <v>0</v>
      </c>
      <c r="L292" s="229">
        <v>0.14499999999999999</v>
      </c>
      <c r="M292" s="229">
        <v>0.73199999999999998</v>
      </c>
      <c r="N292" s="229">
        <v>0.22600000000000001</v>
      </c>
      <c r="O292" s="229">
        <v>16.254000000000001</v>
      </c>
      <c r="P292" s="229">
        <v>289.65199999999999</v>
      </c>
      <c r="Q292" s="229">
        <v>10.663</v>
      </c>
      <c r="R292" s="231"/>
      <c r="S292" s="229">
        <v>103.529</v>
      </c>
      <c r="T292" s="229">
        <v>75.058999999999997</v>
      </c>
      <c r="U292" s="229">
        <v>13.907</v>
      </c>
      <c r="V292" s="229">
        <v>1.494</v>
      </c>
      <c r="W292" s="229">
        <v>0</v>
      </c>
      <c r="X292" s="229">
        <v>0</v>
      </c>
      <c r="Y292" s="231"/>
    </row>
    <row r="293" spans="1:25" s="230" customFormat="1" ht="15.6" x14ac:dyDescent="0.3">
      <c r="A293" s="202">
        <v>554</v>
      </c>
      <c r="B293" s="204" t="s">
        <v>388</v>
      </c>
      <c r="C293" s="225"/>
      <c r="D293" s="207">
        <v>91.596999999999994</v>
      </c>
      <c r="E293" s="207">
        <v>98.6</v>
      </c>
      <c r="F293" s="229">
        <v>67.7</v>
      </c>
      <c r="G293" s="229">
        <v>14.677</v>
      </c>
      <c r="H293" s="229">
        <v>1.3740000000000001</v>
      </c>
      <c r="I293" s="229">
        <v>2.1190000000000002</v>
      </c>
      <c r="J293" s="229">
        <v>1.722</v>
      </c>
      <c r="K293" s="235">
        <f t="shared" si="5"/>
        <v>0</v>
      </c>
      <c r="L293" s="229">
        <v>0.73099999999999998</v>
      </c>
      <c r="M293" s="229">
        <v>0.16</v>
      </c>
      <c r="N293" s="229">
        <v>0.67300000000000004</v>
      </c>
      <c r="O293" s="229">
        <v>9.657</v>
      </c>
      <c r="P293" s="229">
        <v>288.65899999999999</v>
      </c>
      <c r="Q293" s="229">
        <v>194.2</v>
      </c>
      <c r="R293" s="231"/>
      <c r="S293" s="229">
        <v>65.471000000000004</v>
      </c>
      <c r="T293" s="229">
        <v>83.46</v>
      </c>
      <c r="U293" s="229">
        <v>15.651999999999999</v>
      </c>
      <c r="V293" s="229">
        <v>8.3439999999999994</v>
      </c>
      <c r="W293" s="229">
        <v>16.614000000000001</v>
      </c>
      <c r="X293" s="229">
        <v>27.263999999999999</v>
      </c>
      <c r="Y293" s="231"/>
    </row>
    <row r="294" spans="1:25" s="230" customFormat="1" ht="15.6" x14ac:dyDescent="0.3">
      <c r="A294" s="202">
        <v>555</v>
      </c>
      <c r="B294" s="204" t="s">
        <v>389</v>
      </c>
      <c r="C294" s="225"/>
      <c r="D294" s="207">
        <v>89.18</v>
      </c>
      <c r="E294" s="207">
        <v>93.7</v>
      </c>
      <c r="F294" s="229">
        <v>63.6</v>
      </c>
      <c r="G294" s="229">
        <v>8.9629999999999992</v>
      </c>
      <c r="H294" s="229">
        <v>0.318</v>
      </c>
      <c r="I294" s="229">
        <v>0.108</v>
      </c>
      <c r="J294" s="229">
        <v>0.33200000000000002</v>
      </c>
      <c r="K294" s="235">
        <f t="shared" si="5"/>
        <v>0</v>
      </c>
      <c r="L294" s="229">
        <v>0.127</v>
      </c>
      <c r="M294" s="229">
        <v>9.7000000000000003E-2</v>
      </c>
      <c r="N294" s="229">
        <v>0</v>
      </c>
      <c r="O294" s="229">
        <v>4.8540000000000001</v>
      </c>
      <c r="P294" s="229">
        <v>189.94399999999999</v>
      </c>
      <c r="Q294" s="229">
        <v>47.174999999999997</v>
      </c>
      <c r="R294" s="231"/>
      <c r="S294" s="229">
        <v>26.297999999999998</v>
      </c>
      <c r="T294" s="229">
        <v>84.156000000000006</v>
      </c>
      <c r="U294" s="229">
        <v>2.746</v>
      </c>
      <c r="V294" s="229">
        <v>4.7309999999999999</v>
      </c>
      <c r="W294" s="229">
        <v>4.931</v>
      </c>
      <c r="X294" s="229">
        <v>6.88</v>
      </c>
      <c r="Y294" s="231"/>
    </row>
    <row r="295" spans="1:25" s="230" customFormat="1" ht="15.6" x14ac:dyDescent="0.3">
      <c r="A295" s="202">
        <v>556</v>
      </c>
      <c r="B295" s="204" t="s">
        <v>390</v>
      </c>
      <c r="C295" s="225"/>
      <c r="D295" s="207">
        <v>88.646000000000001</v>
      </c>
      <c r="E295" s="207">
        <v>87.1</v>
      </c>
      <c r="F295" s="229">
        <v>57.9</v>
      </c>
      <c r="G295" s="229">
        <v>10.930999999999999</v>
      </c>
      <c r="H295" s="229">
        <v>0.61699999999999999</v>
      </c>
      <c r="I295" s="229">
        <v>0.1</v>
      </c>
      <c r="J295" s="229">
        <v>0.35599999999999998</v>
      </c>
      <c r="K295" s="235">
        <f t="shared" si="5"/>
        <v>0</v>
      </c>
      <c r="L295" s="229">
        <v>0.13300000000000001</v>
      </c>
      <c r="M295" s="229">
        <v>0.11799999999999999</v>
      </c>
      <c r="N295" s="229">
        <v>0</v>
      </c>
      <c r="O295" s="229">
        <v>4.9329999999999998</v>
      </c>
      <c r="P295" s="229">
        <v>257.71100000000001</v>
      </c>
      <c r="Q295" s="229">
        <v>48.545000000000002</v>
      </c>
      <c r="R295" s="231"/>
      <c r="S295" s="229">
        <v>36.143999999999998</v>
      </c>
      <c r="T295" s="229">
        <v>79.894000000000005</v>
      </c>
      <c r="U295" s="229">
        <v>1.6519999999999999</v>
      </c>
      <c r="V295" s="229">
        <v>2.3420000000000001</v>
      </c>
      <c r="W295" s="229">
        <v>7.9080000000000004</v>
      </c>
      <c r="X295" s="229">
        <v>19.408000000000001</v>
      </c>
      <c r="Y295" s="231"/>
    </row>
    <row r="296" spans="1:25" s="230" customFormat="1" ht="15.6" x14ac:dyDescent="0.3">
      <c r="A296" s="202">
        <v>557</v>
      </c>
      <c r="B296" s="204" t="s">
        <v>391</v>
      </c>
      <c r="C296" s="225"/>
      <c r="D296" s="207">
        <v>94.953999999999994</v>
      </c>
      <c r="E296" s="207">
        <v>55.800000000000004</v>
      </c>
      <c r="F296" s="229">
        <v>29.599999999999998</v>
      </c>
      <c r="G296" s="229">
        <v>24.033999999999999</v>
      </c>
      <c r="H296" s="229">
        <v>1.006</v>
      </c>
      <c r="I296" s="229">
        <v>1.0569999999999999</v>
      </c>
      <c r="J296" s="229">
        <v>0.60599999999999998</v>
      </c>
      <c r="K296" s="235">
        <f t="shared" si="5"/>
        <v>0</v>
      </c>
      <c r="L296" s="229">
        <v>0.43</v>
      </c>
      <c r="M296" s="229">
        <v>0.25700000000000001</v>
      </c>
      <c r="N296" s="229">
        <v>0</v>
      </c>
      <c r="O296" s="229">
        <v>28.92</v>
      </c>
      <c r="P296" s="229">
        <v>263.60399999999998</v>
      </c>
      <c r="Q296" s="229">
        <v>111.173</v>
      </c>
      <c r="R296" s="231"/>
      <c r="S296" s="229">
        <v>139.59800000000001</v>
      </c>
      <c r="T296" s="229">
        <v>58.124000000000002</v>
      </c>
      <c r="U296" s="229">
        <v>9.1440000000000001</v>
      </c>
      <c r="V296" s="229">
        <v>30.536000000000001</v>
      </c>
      <c r="W296" s="229">
        <v>37.726999999999997</v>
      </c>
      <c r="X296" s="229">
        <v>53.335000000000001</v>
      </c>
      <c r="Y296" s="231"/>
    </row>
    <row r="297" spans="1:25" s="230" customFormat="1" ht="15.6" x14ac:dyDescent="0.3">
      <c r="A297" s="202">
        <v>558</v>
      </c>
      <c r="B297" s="204" t="s">
        <v>392</v>
      </c>
      <c r="C297" s="225"/>
      <c r="D297" s="207">
        <v>90.968000000000004</v>
      </c>
      <c r="E297" s="207">
        <v>59.5</v>
      </c>
      <c r="F297" s="229">
        <v>33.4</v>
      </c>
      <c r="G297" s="229">
        <v>13.891</v>
      </c>
      <c r="H297" s="229">
        <v>1.3979999999999999</v>
      </c>
      <c r="I297" s="229">
        <v>0.64400000000000002</v>
      </c>
      <c r="J297" s="229">
        <v>0.184</v>
      </c>
      <c r="K297" s="235">
        <f t="shared" si="5"/>
        <v>0</v>
      </c>
      <c r="L297" s="229">
        <v>0.26200000000000001</v>
      </c>
      <c r="M297" s="229">
        <v>0.13200000000000001</v>
      </c>
      <c r="N297" s="229">
        <v>0.68100000000000005</v>
      </c>
      <c r="O297" s="229">
        <v>8.8680000000000003</v>
      </c>
      <c r="P297" s="229">
        <v>490.94099999999997</v>
      </c>
      <c r="Q297" s="229">
        <v>24.253</v>
      </c>
      <c r="R297" s="207">
        <v>0.14000000000000001</v>
      </c>
      <c r="S297" s="229">
        <v>45.854999999999997</v>
      </c>
      <c r="T297" s="229">
        <v>63.164000000000001</v>
      </c>
      <c r="U297" s="229">
        <v>3.278</v>
      </c>
      <c r="V297" s="229">
        <v>34.722999999999999</v>
      </c>
      <c r="W297" s="229">
        <v>44.372</v>
      </c>
      <c r="X297" s="229">
        <v>62.66</v>
      </c>
      <c r="Y297" s="207">
        <v>28</v>
      </c>
    </row>
    <row r="298" spans="1:25" s="230" customFormat="1" ht="15.6" x14ac:dyDescent="0.3">
      <c r="A298" s="202">
        <v>559</v>
      </c>
      <c r="B298" s="204" t="s">
        <v>393</v>
      </c>
      <c r="C298" s="225"/>
      <c r="D298" s="207">
        <v>90.15</v>
      </c>
      <c r="E298" s="207">
        <v>87.8</v>
      </c>
      <c r="F298" s="229">
        <v>58.599999999999994</v>
      </c>
      <c r="G298" s="229">
        <v>51.341000000000001</v>
      </c>
      <c r="H298" s="229">
        <v>2.278</v>
      </c>
      <c r="I298" s="229">
        <v>0.41499999999999998</v>
      </c>
      <c r="J298" s="229">
        <v>0.745</v>
      </c>
      <c r="K298" s="235">
        <f t="shared" si="5"/>
        <v>0</v>
      </c>
      <c r="L298" s="229">
        <v>0.32</v>
      </c>
      <c r="M298" s="229">
        <v>0.39200000000000002</v>
      </c>
      <c r="N298" s="229">
        <v>0.67100000000000004</v>
      </c>
      <c r="O298" s="229">
        <v>15.388999999999999</v>
      </c>
      <c r="P298" s="229">
        <v>206.87799999999999</v>
      </c>
      <c r="Q298" s="229">
        <v>40.283999999999999</v>
      </c>
      <c r="R298" s="207">
        <v>0.11</v>
      </c>
      <c r="S298" s="229">
        <v>53.796999999999997</v>
      </c>
      <c r="T298" s="229">
        <v>79.924999999999997</v>
      </c>
      <c r="U298" s="229">
        <v>4.4729999999999999</v>
      </c>
      <c r="V298" s="229">
        <v>4.4619999999999997</v>
      </c>
      <c r="W298" s="229">
        <v>8.4239999999999995</v>
      </c>
      <c r="X298" s="229">
        <v>13.222</v>
      </c>
      <c r="Y298" s="207">
        <v>28</v>
      </c>
    </row>
    <row r="299" spans="1:25" s="230" customFormat="1" ht="15.6" x14ac:dyDescent="0.3">
      <c r="A299" s="202">
        <v>560</v>
      </c>
      <c r="B299" s="204" t="s">
        <v>394</v>
      </c>
      <c r="C299" s="225"/>
      <c r="D299" s="207">
        <v>89.787999999999997</v>
      </c>
      <c r="E299" s="207">
        <v>84.7</v>
      </c>
      <c r="F299" s="229">
        <v>55.900000000000006</v>
      </c>
      <c r="G299" s="229">
        <v>48.555999999999997</v>
      </c>
      <c r="H299" s="229">
        <v>2.15</v>
      </c>
      <c r="I299" s="229">
        <v>0.35799999999999998</v>
      </c>
      <c r="J299" s="229">
        <v>0.72299999999999998</v>
      </c>
      <c r="K299" s="235">
        <f t="shared" si="5"/>
        <v>0</v>
      </c>
      <c r="L299" s="229">
        <v>0.29699999999999999</v>
      </c>
      <c r="M299" s="229">
        <v>0.377</v>
      </c>
      <c r="N299" s="229">
        <v>0.56899999999999995</v>
      </c>
      <c r="O299" s="229">
        <v>13.935</v>
      </c>
      <c r="P299" s="229">
        <v>153.209</v>
      </c>
      <c r="Q299" s="229">
        <v>35.588000000000001</v>
      </c>
      <c r="R299" s="207">
        <v>0.11</v>
      </c>
      <c r="S299" s="229">
        <v>60.476999999999997</v>
      </c>
      <c r="T299" s="229">
        <v>77.548000000000002</v>
      </c>
      <c r="U299" s="229">
        <v>7.8220000000000001</v>
      </c>
      <c r="V299" s="229">
        <v>5.9</v>
      </c>
      <c r="W299" s="229">
        <v>10.407999999999999</v>
      </c>
      <c r="X299" s="229">
        <v>21.861000000000001</v>
      </c>
      <c r="Y299" s="207">
        <v>28</v>
      </c>
    </row>
    <row r="300" spans="1:25" s="230" customFormat="1" ht="15.6" x14ac:dyDescent="0.3">
      <c r="A300" s="202">
        <v>561</v>
      </c>
      <c r="B300" s="204" t="s">
        <v>395</v>
      </c>
      <c r="C300" s="225"/>
      <c r="D300" s="207">
        <v>92.271000000000001</v>
      </c>
      <c r="E300" s="207">
        <v>121.8</v>
      </c>
      <c r="F300" s="229">
        <v>86.8</v>
      </c>
      <c r="G300" s="229">
        <v>40.167000000000002</v>
      </c>
      <c r="H300" s="229">
        <v>1.8560000000000001</v>
      </c>
      <c r="I300" s="229">
        <v>0.28699999999999998</v>
      </c>
      <c r="J300" s="229">
        <v>0.63500000000000001</v>
      </c>
      <c r="K300" s="235">
        <f t="shared" si="5"/>
        <v>0</v>
      </c>
      <c r="L300" s="229">
        <v>0.253</v>
      </c>
      <c r="M300" s="229">
        <v>0.30299999999999999</v>
      </c>
      <c r="N300" s="229">
        <v>1.0109999999999999</v>
      </c>
      <c r="O300" s="229">
        <v>14.637</v>
      </c>
      <c r="P300" s="229">
        <v>175.70400000000001</v>
      </c>
      <c r="Q300" s="229">
        <v>31.625</v>
      </c>
      <c r="R300" s="231"/>
      <c r="S300" s="229">
        <v>43.091999999999999</v>
      </c>
      <c r="T300" s="229">
        <v>97.521000000000001</v>
      </c>
      <c r="U300" s="229">
        <v>20.28</v>
      </c>
      <c r="V300" s="229">
        <v>6.28</v>
      </c>
      <c r="W300" s="229">
        <v>10.778</v>
      </c>
      <c r="X300" s="229">
        <v>17.812000000000001</v>
      </c>
      <c r="Y300" s="231"/>
    </row>
    <row r="301" spans="1:25" s="230" customFormat="1" ht="15.6" x14ac:dyDescent="0.3">
      <c r="A301" s="202">
        <v>562</v>
      </c>
      <c r="B301" s="204" t="s">
        <v>396</v>
      </c>
      <c r="C301" s="225"/>
      <c r="D301" s="207">
        <v>92.275999999999996</v>
      </c>
      <c r="E301" s="207">
        <v>116.10000000000001</v>
      </c>
      <c r="F301" s="229">
        <v>82.199999999999989</v>
      </c>
      <c r="G301" s="229">
        <v>44.576999999999998</v>
      </c>
      <c r="H301" s="229">
        <v>1.9930000000000001</v>
      </c>
      <c r="I301" s="229">
        <v>0.29099999999999998</v>
      </c>
      <c r="J301" s="229">
        <v>0.67600000000000005</v>
      </c>
      <c r="K301" s="235">
        <f t="shared" si="5"/>
        <v>0</v>
      </c>
      <c r="L301" s="229">
        <v>0.27100000000000002</v>
      </c>
      <c r="M301" s="229">
        <v>0.34899999999999998</v>
      </c>
      <c r="N301" s="229">
        <v>0.25700000000000001</v>
      </c>
      <c r="O301" s="229">
        <v>14.161</v>
      </c>
      <c r="P301" s="229">
        <v>147.46199999999999</v>
      </c>
      <c r="Q301" s="229">
        <v>34.301000000000002</v>
      </c>
      <c r="R301" s="231"/>
      <c r="S301" s="229">
        <v>49.648000000000003</v>
      </c>
      <c r="T301" s="229">
        <v>94.432000000000002</v>
      </c>
      <c r="U301" s="229">
        <v>13.412000000000001</v>
      </c>
      <c r="V301" s="229">
        <v>6.8040000000000003</v>
      </c>
      <c r="W301" s="229">
        <v>10.885</v>
      </c>
      <c r="X301" s="229">
        <v>17.391999999999999</v>
      </c>
      <c r="Y301" s="231"/>
    </row>
    <row r="302" spans="1:25" s="230" customFormat="1" ht="15.6" x14ac:dyDescent="0.3">
      <c r="A302" s="202">
        <v>563</v>
      </c>
      <c r="B302" s="204" t="s">
        <v>397</v>
      </c>
      <c r="C302" s="225"/>
      <c r="D302" s="207">
        <v>93.426000000000002</v>
      </c>
      <c r="E302" s="207">
        <v>122.6</v>
      </c>
      <c r="F302" s="229">
        <v>87.5</v>
      </c>
      <c r="G302" s="229">
        <v>40.534999999999997</v>
      </c>
      <c r="H302" s="229">
        <v>1.8839999999999999</v>
      </c>
      <c r="I302" s="229">
        <v>0.27200000000000002</v>
      </c>
      <c r="J302" s="229">
        <v>0.64900000000000002</v>
      </c>
      <c r="K302" s="235">
        <f t="shared" si="5"/>
        <v>0</v>
      </c>
      <c r="L302" s="229">
        <v>0.25900000000000001</v>
      </c>
      <c r="M302" s="229">
        <v>0.313</v>
      </c>
      <c r="N302" s="229">
        <v>0.36099999999999999</v>
      </c>
      <c r="O302" s="229">
        <v>12.887</v>
      </c>
      <c r="P302" s="229">
        <v>146.845</v>
      </c>
      <c r="Q302" s="229">
        <v>29.532</v>
      </c>
      <c r="R302" s="231"/>
      <c r="S302" s="229">
        <v>43.774999999999999</v>
      </c>
      <c r="T302" s="229">
        <v>97.63</v>
      </c>
      <c r="U302" s="229">
        <v>20.67</v>
      </c>
      <c r="V302" s="229">
        <v>6.6310000000000002</v>
      </c>
      <c r="W302" s="229">
        <v>11.157999999999999</v>
      </c>
      <c r="X302" s="229">
        <v>21.09</v>
      </c>
      <c r="Y302" s="231"/>
    </row>
    <row r="303" spans="1:25" s="230" customFormat="1" ht="15.6" x14ac:dyDescent="0.3">
      <c r="A303" s="202">
        <v>564</v>
      </c>
      <c r="B303" s="204" t="s">
        <v>398</v>
      </c>
      <c r="C303" s="225"/>
      <c r="D303" s="207">
        <v>86.878</v>
      </c>
      <c r="E303" s="207">
        <v>99.2</v>
      </c>
      <c r="F303" s="229">
        <v>68.300000000000011</v>
      </c>
      <c r="G303" s="229">
        <v>8.3680000000000003</v>
      </c>
      <c r="H303" s="229">
        <v>0.33100000000000002</v>
      </c>
      <c r="I303" s="229">
        <v>0.03</v>
      </c>
      <c r="J303" s="229">
        <v>0.23599999999999999</v>
      </c>
      <c r="K303" s="235">
        <f t="shared" si="5"/>
        <v>0</v>
      </c>
      <c r="L303" s="229">
        <v>0.09</v>
      </c>
      <c r="M303" s="229">
        <v>9.0999999999999998E-2</v>
      </c>
      <c r="N303" s="229">
        <v>4.2000000000000003E-2</v>
      </c>
      <c r="O303" s="229">
        <v>1.89</v>
      </c>
      <c r="P303" s="229">
        <v>34.334000000000003</v>
      </c>
      <c r="Q303" s="229">
        <v>5.3780000000000001</v>
      </c>
      <c r="R303" s="231"/>
      <c r="S303" s="229">
        <v>17.164000000000001</v>
      </c>
      <c r="T303" s="229">
        <v>87.733999999999995</v>
      </c>
      <c r="U303" s="229">
        <v>3.581</v>
      </c>
      <c r="V303" s="229">
        <v>1.919</v>
      </c>
      <c r="W303" s="229">
        <v>3.54</v>
      </c>
      <c r="X303" s="229">
        <v>8.9160000000000004</v>
      </c>
      <c r="Y303" s="231"/>
    </row>
    <row r="304" spans="1:25" s="230" customFormat="1" ht="15.6" x14ac:dyDescent="0.3">
      <c r="A304" s="202">
        <v>565</v>
      </c>
      <c r="B304" s="204" t="s">
        <v>399</v>
      </c>
      <c r="C304" s="225"/>
      <c r="D304" s="207">
        <v>92.481999999999999</v>
      </c>
      <c r="E304" s="207">
        <v>69.099999999999994</v>
      </c>
      <c r="F304" s="229">
        <v>41.699999999999996</v>
      </c>
      <c r="G304" s="229">
        <v>32.993000000000002</v>
      </c>
      <c r="H304" s="229">
        <v>1.514</v>
      </c>
      <c r="I304" s="229">
        <v>0.45</v>
      </c>
      <c r="J304" s="229">
        <v>1.0589999999999999</v>
      </c>
      <c r="K304" s="235">
        <f t="shared" si="5"/>
        <v>0</v>
      </c>
      <c r="L304" s="229">
        <v>0.56100000000000005</v>
      </c>
      <c r="M304" s="229">
        <v>0</v>
      </c>
      <c r="N304" s="229">
        <v>0.45900000000000002</v>
      </c>
      <c r="O304" s="229">
        <v>28.712</v>
      </c>
      <c r="P304" s="229">
        <v>232.624</v>
      </c>
      <c r="Q304" s="229">
        <v>42.933999999999997</v>
      </c>
      <c r="R304" s="207">
        <v>0.18</v>
      </c>
      <c r="S304" s="229">
        <v>86.981999999999999</v>
      </c>
      <c r="T304" s="229">
        <v>66.058999999999997</v>
      </c>
      <c r="U304" s="229">
        <v>11.454000000000001</v>
      </c>
      <c r="V304" s="229">
        <v>17.353999999999999</v>
      </c>
      <c r="W304" s="229">
        <v>29.388000000000002</v>
      </c>
      <c r="X304" s="229">
        <v>40.872999999999998</v>
      </c>
      <c r="Y304" s="207">
        <v>90</v>
      </c>
    </row>
    <row r="305" spans="1:25" s="230" customFormat="1" ht="15.6" x14ac:dyDescent="0.3">
      <c r="A305" s="202">
        <v>566</v>
      </c>
      <c r="B305" s="204" t="s">
        <v>400</v>
      </c>
      <c r="C305" s="225"/>
      <c r="D305" s="207">
        <v>92.076999999999998</v>
      </c>
      <c r="E305" s="207">
        <v>149.70000000000002</v>
      </c>
      <c r="F305" s="229">
        <v>108.7</v>
      </c>
      <c r="G305" s="229">
        <v>21.893999999999998</v>
      </c>
      <c r="H305" s="229">
        <v>1.0860000000000001</v>
      </c>
      <c r="I305" s="229">
        <v>0.32900000000000001</v>
      </c>
      <c r="J305" s="229">
        <v>0.68200000000000005</v>
      </c>
      <c r="K305" s="235">
        <f t="shared" si="5"/>
        <v>0</v>
      </c>
      <c r="L305" s="229">
        <v>0.38200000000000001</v>
      </c>
      <c r="M305" s="229">
        <v>0</v>
      </c>
      <c r="N305" s="229">
        <v>0.74199999999999999</v>
      </c>
      <c r="O305" s="229">
        <v>19.369</v>
      </c>
      <c r="P305" s="229">
        <v>165.435</v>
      </c>
      <c r="Q305" s="229">
        <v>29.588000000000001</v>
      </c>
      <c r="R305" s="231"/>
      <c r="S305" s="229">
        <v>57.360999999999997</v>
      </c>
      <c r="T305" s="229">
        <v>112.749</v>
      </c>
      <c r="U305" s="229">
        <v>35.167000000000002</v>
      </c>
      <c r="V305" s="229">
        <v>22.475000000000001</v>
      </c>
      <c r="W305" s="229">
        <v>28.568000000000001</v>
      </c>
      <c r="X305" s="229">
        <v>37.533000000000001</v>
      </c>
      <c r="Y305" s="231"/>
    </row>
    <row r="306" spans="1:25" s="230" customFormat="1" ht="15.6" x14ac:dyDescent="0.3">
      <c r="A306" s="202">
        <v>567</v>
      </c>
      <c r="B306" s="204" t="s">
        <v>401</v>
      </c>
      <c r="C306" s="225"/>
      <c r="D306" s="207">
        <v>24.312000000000001</v>
      </c>
      <c r="E306" s="207">
        <v>76.2</v>
      </c>
      <c r="F306" s="229">
        <v>48.3</v>
      </c>
      <c r="G306" s="229">
        <v>19.911999999999999</v>
      </c>
      <c r="H306" s="229">
        <v>2.2810000000000001</v>
      </c>
      <c r="I306" s="229">
        <v>0.442</v>
      </c>
      <c r="J306" s="229">
        <v>0.47099999999999997</v>
      </c>
      <c r="K306" s="235">
        <f t="shared" si="5"/>
        <v>0</v>
      </c>
      <c r="L306" s="229">
        <v>0.27900000000000003</v>
      </c>
      <c r="M306" s="229">
        <v>0.216</v>
      </c>
      <c r="N306" s="229">
        <v>0</v>
      </c>
      <c r="O306" s="229">
        <v>13.481999999999999</v>
      </c>
      <c r="P306" s="229">
        <v>730.00900000000001</v>
      </c>
      <c r="Q306" s="229">
        <v>43.801000000000002</v>
      </c>
      <c r="R306" s="231"/>
      <c r="S306" s="229">
        <v>32.603000000000002</v>
      </c>
      <c r="T306" s="229">
        <v>71.003</v>
      </c>
      <c r="U306" s="229">
        <v>12.506</v>
      </c>
      <c r="V306" s="229">
        <v>0</v>
      </c>
      <c r="W306" s="229">
        <v>41.146999999999998</v>
      </c>
      <c r="X306" s="229">
        <v>49.238999999999997</v>
      </c>
      <c r="Y306" s="231"/>
    </row>
    <row r="307" spans="1:25" s="230" customFormat="1" ht="15.6" x14ac:dyDescent="0.3">
      <c r="A307" s="202">
        <v>568</v>
      </c>
      <c r="B307" s="204" t="s">
        <v>402</v>
      </c>
      <c r="C307" s="225"/>
      <c r="D307" s="207">
        <v>89.058000000000007</v>
      </c>
      <c r="E307" s="207">
        <v>90.600000000000009</v>
      </c>
      <c r="F307" s="229">
        <v>61</v>
      </c>
      <c r="G307" s="229">
        <v>12.092000000000001</v>
      </c>
      <c r="H307" s="229">
        <v>0.5</v>
      </c>
      <c r="I307" s="229">
        <v>7.5999999999999998E-2</v>
      </c>
      <c r="J307" s="229">
        <v>0.36199999999999999</v>
      </c>
      <c r="K307" s="235">
        <f t="shared" si="5"/>
        <v>0</v>
      </c>
      <c r="L307" s="229">
        <v>0.129</v>
      </c>
      <c r="M307" s="229">
        <v>0.14499999999999999</v>
      </c>
      <c r="N307" s="229">
        <v>0</v>
      </c>
      <c r="O307" s="229">
        <v>4.7370000000000001</v>
      </c>
      <c r="P307" s="229">
        <v>50.27</v>
      </c>
      <c r="Q307" s="229">
        <v>42.173999999999999</v>
      </c>
      <c r="R307" s="231"/>
      <c r="S307" s="229">
        <v>90.224999999999994</v>
      </c>
      <c r="T307" s="229">
        <v>82.076999999999998</v>
      </c>
      <c r="U307" s="229">
        <v>1.73</v>
      </c>
      <c r="V307" s="229">
        <v>3.2</v>
      </c>
      <c r="W307" s="229">
        <v>5.016</v>
      </c>
      <c r="X307" s="229">
        <v>15.244999999999999</v>
      </c>
      <c r="Y307" s="231"/>
    </row>
    <row r="308" spans="1:25" s="230" customFormat="1" ht="15.6" x14ac:dyDescent="0.3">
      <c r="A308" s="202">
        <v>569</v>
      </c>
      <c r="B308" s="204" t="s">
        <v>403</v>
      </c>
      <c r="C308" s="225"/>
      <c r="D308" s="207">
        <v>89.86</v>
      </c>
      <c r="E308" s="207">
        <v>76.099999999999994</v>
      </c>
      <c r="F308" s="229">
        <v>48.3</v>
      </c>
      <c r="G308" s="229">
        <v>17.614000000000001</v>
      </c>
      <c r="H308" s="229">
        <v>1.2210000000000001</v>
      </c>
      <c r="I308" s="229">
        <v>0.156</v>
      </c>
      <c r="J308" s="229">
        <v>1.08</v>
      </c>
      <c r="K308" s="235">
        <f t="shared" si="5"/>
        <v>0</v>
      </c>
      <c r="L308" s="229">
        <v>0.42799999999999999</v>
      </c>
      <c r="M308" s="229">
        <v>0.183</v>
      </c>
      <c r="N308" s="229">
        <v>0.23599999999999999</v>
      </c>
      <c r="O308" s="229">
        <v>11.733000000000001</v>
      </c>
      <c r="P308" s="229">
        <v>176.97300000000001</v>
      </c>
      <c r="Q308" s="229">
        <v>135.124</v>
      </c>
      <c r="R308" s="231"/>
      <c r="S308" s="229">
        <v>87.343000000000004</v>
      </c>
      <c r="T308" s="229">
        <v>71.721000000000004</v>
      </c>
      <c r="U308" s="229">
        <v>4.5449999999999999</v>
      </c>
      <c r="V308" s="229">
        <v>9.7430000000000003</v>
      </c>
      <c r="W308" s="229">
        <v>13.862</v>
      </c>
      <c r="X308" s="229">
        <v>39.783999999999999</v>
      </c>
      <c r="Y308" s="231"/>
    </row>
    <row r="309" spans="1:25" s="230" customFormat="1" ht="15.6" x14ac:dyDescent="0.3">
      <c r="A309" s="202">
        <v>570</v>
      </c>
      <c r="B309" s="204" t="s">
        <v>404</v>
      </c>
      <c r="C309" s="225"/>
      <c r="D309" s="207">
        <v>87.566000000000003</v>
      </c>
      <c r="E309" s="207">
        <v>99.4</v>
      </c>
      <c r="F309" s="229">
        <v>68.400000000000006</v>
      </c>
      <c r="G309" s="229">
        <v>29.100999999999999</v>
      </c>
      <c r="H309" s="229">
        <v>1.0509999999999999</v>
      </c>
      <c r="I309" s="229">
        <v>0.107</v>
      </c>
      <c r="J309" s="229">
        <v>1.2290000000000001</v>
      </c>
      <c r="K309" s="235">
        <f t="shared" si="5"/>
        <v>0</v>
      </c>
      <c r="L309" s="229">
        <v>0.377</v>
      </c>
      <c r="M309" s="229">
        <v>0.26400000000000001</v>
      </c>
      <c r="N309" s="229">
        <v>0</v>
      </c>
      <c r="O309" s="229">
        <v>6.8010000000000002</v>
      </c>
      <c r="P309" s="229">
        <v>122.661</v>
      </c>
      <c r="Q309" s="229">
        <v>192.63399999999999</v>
      </c>
      <c r="R309" s="231"/>
      <c r="S309" s="229">
        <v>137.63800000000001</v>
      </c>
      <c r="T309" s="229">
        <v>84.774000000000001</v>
      </c>
      <c r="U309" s="229">
        <v>6.3079999999999998</v>
      </c>
      <c r="V309" s="229">
        <v>4.9800000000000004</v>
      </c>
      <c r="W309" s="229">
        <v>5.8860000000000001</v>
      </c>
      <c r="X309" s="229">
        <v>21.681000000000001</v>
      </c>
      <c r="Y309" s="231"/>
    </row>
    <row r="310" spans="1:25" s="230" customFormat="1" ht="15.6" x14ac:dyDescent="0.3">
      <c r="A310" s="202">
        <v>571</v>
      </c>
      <c r="B310" s="204" t="s">
        <v>405</v>
      </c>
      <c r="C310" s="225"/>
      <c r="D310" s="207">
        <v>89.665000000000006</v>
      </c>
      <c r="E310" s="207">
        <v>78.900000000000006</v>
      </c>
      <c r="F310" s="229">
        <v>50.7</v>
      </c>
      <c r="G310" s="229">
        <v>18.46</v>
      </c>
      <c r="H310" s="229">
        <v>1.1359999999999999</v>
      </c>
      <c r="I310" s="229">
        <v>0.14699999999999999</v>
      </c>
      <c r="J310" s="229">
        <v>1.0720000000000001</v>
      </c>
      <c r="K310" s="235">
        <f t="shared" si="5"/>
        <v>0</v>
      </c>
      <c r="L310" s="229">
        <v>0.41799999999999998</v>
      </c>
      <c r="M310" s="229">
        <v>0.187</v>
      </c>
      <c r="N310" s="229">
        <v>0.61499999999999999</v>
      </c>
      <c r="O310" s="229">
        <v>11.766</v>
      </c>
      <c r="P310" s="229">
        <v>148.07400000000001</v>
      </c>
      <c r="Q310" s="229">
        <v>125.827</v>
      </c>
      <c r="R310" s="207">
        <v>0.21</v>
      </c>
      <c r="S310" s="229">
        <v>83.67</v>
      </c>
      <c r="T310" s="229">
        <v>73.313999999999993</v>
      </c>
      <c r="U310" s="229">
        <v>5.891</v>
      </c>
      <c r="V310" s="229">
        <v>9.3849999999999998</v>
      </c>
      <c r="W310" s="229">
        <v>13.231999999999999</v>
      </c>
      <c r="X310" s="229">
        <v>37.954999999999998</v>
      </c>
      <c r="Y310" s="207">
        <v>2</v>
      </c>
    </row>
    <row r="311" spans="1:25" s="230" customFormat="1" ht="15.6" x14ac:dyDescent="0.3">
      <c r="A311" s="202">
        <v>572</v>
      </c>
      <c r="B311" s="204" t="s">
        <v>406</v>
      </c>
      <c r="C311" s="225"/>
      <c r="D311" s="207">
        <v>88.837999999999994</v>
      </c>
      <c r="E311" s="207">
        <v>93</v>
      </c>
      <c r="F311" s="229">
        <v>63</v>
      </c>
      <c r="G311" s="229">
        <v>13.628</v>
      </c>
      <c r="H311" s="229">
        <v>0.45200000000000001</v>
      </c>
      <c r="I311" s="229">
        <v>0.11899999999999999</v>
      </c>
      <c r="J311" s="229">
        <v>0.38900000000000001</v>
      </c>
      <c r="K311" s="235">
        <f t="shared" si="5"/>
        <v>0</v>
      </c>
      <c r="L311" s="229">
        <v>0.13200000000000001</v>
      </c>
      <c r="M311" s="229">
        <v>0.14699999999999999</v>
      </c>
      <c r="N311" s="229">
        <v>0.26900000000000002</v>
      </c>
      <c r="O311" s="229">
        <v>4.1929999999999996</v>
      </c>
      <c r="P311" s="229">
        <v>93.225999999999999</v>
      </c>
      <c r="Q311" s="229">
        <v>40.857999999999997</v>
      </c>
      <c r="R311" s="207">
        <v>0.28999999999999998</v>
      </c>
      <c r="S311" s="229">
        <v>30.581</v>
      </c>
      <c r="T311" s="229">
        <v>83.784000000000006</v>
      </c>
      <c r="U311" s="229">
        <v>2.0449999999999999</v>
      </c>
      <c r="V311" s="229">
        <v>3.2690000000000001</v>
      </c>
      <c r="W311" s="229">
        <v>4.7030000000000003</v>
      </c>
      <c r="X311" s="229">
        <v>13.468</v>
      </c>
      <c r="Y311" s="231"/>
    </row>
    <row r="312" spans="1:25" s="230" customFormat="1" ht="15.6" x14ac:dyDescent="0.3">
      <c r="A312" s="202">
        <v>573</v>
      </c>
      <c r="B312" s="204" t="s">
        <v>407</v>
      </c>
      <c r="C312" s="225"/>
      <c r="D312" s="207">
        <v>23.059000000000001</v>
      </c>
      <c r="E312" s="207">
        <v>93.2</v>
      </c>
      <c r="F312" s="229">
        <v>63</v>
      </c>
      <c r="G312" s="229">
        <v>13.721</v>
      </c>
      <c r="H312" s="229">
        <v>3.2709999999999999</v>
      </c>
      <c r="I312" s="229">
        <v>1.0960000000000001</v>
      </c>
      <c r="J312" s="229">
        <v>1.3660000000000001</v>
      </c>
      <c r="K312" s="235">
        <f t="shared" si="5"/>
        <v>0</v>
      </c>
      <c r="L312" s="229">
        <v>0.26600000000000001</v>
      </c>
      <c r="M312" s="229">
        <v>0.23</v>
      </c>
      <c r="N312" s="229">
        <v>0.215</v>
      </c>
      <c r="O312" s="229">
        <v>3.5910000000000002</v>
      </c>
      <c r="P312" s="229">
        <v>149.96700000000001</v>
      </c>
      <c r="Q312" s="229">
        <v>2.2069999999999999</v>
      </c>
      <c r="R312" s="231"/>
      <c r="S312" s="229">
        <v>23.661000000000001</v>
      </c>
      <c r="T312" s="229">
        <v>81.995000000000005</v>
      </c>
      <c r="U312" s="229">
        <v>3.8570000000000002</v>
      </c>
      <c r="V312" s="229">
        <v>0.253</v>
      </c>
      <c r="W312" s="229">
        <v>0.55600000000000005</v>
      </c>
      <c r="X312" s="229">
        <v>1.0880000000000001</v>
      </c>
      <c r="Y312" s="231"/>
    </row>
    <row r="313" spans="1:25" s="230" customFormat="1" ht="15.6" x14ac:dyDescent="0.3">
      <c r="A313" s="202">
        <v>574</v>
      </c>
      <c r="B313" s="204" t="s">
        <v>408</v>
      </c>
      <c r="C313" s="225"/>
      <c r="D313" s="207">
        <v>28.98</v>
      </c>
      <c r="E313" s="207">
        <v>91.2</v>
      </c>
      <c r="F313" s="229">
        <v>61.5</v>
      </c>
      <c r="G313" s="229">
        <v>43.728000000000002</v>
      </c>
      <c r="H313" s="229">
        <v>1.7070000000000001</v>
      </c>
      <c r="I313" s="229">
        <v>0.41699999999999998</v>
      </c>
      <c r="J313" s="229">
        <v>1.3660000000000001</v>
      </c>
      <c r="K313" s="235">
        <f t="shared" si="5"/>
        <v>0</v>
      </c>
      <c r="L313" s="229">
        <v>0.24199999999999999</v>
      </c>
      <c r="M313" s="229">
        <v>0</v>
      </c>
      <c r="N313" s="229">
        <v>0.71499999999999997</v>
      </c>
      <c r="O313" s="229">
        <v>17.239999999999998</v>
      </c>
      <c r="P313" s="229">
        <v>142.911</v>
      </c>
      <c r="Q313" s="229">
        <v>20.207999999999998</v>
      </c>
      <c r="R313" s="231"/>
      <c r="S313" s="229">
        <v>85.406000000000006</v>
      </c>
      <c r="T313" s="229">
        <v>82.191000000000003</v>
      </c>
      <c r="U313" s="229">
        <v>3.5059999999999998</v>
      </c>
      <c r="V313" s="229">
        <v>2.7210000000000001</v>
      </c>
      <c r="W313" s="229">
        <v>3.988</v>
      </c>
      <c r="X313" s="229">
        <v>7.3639999999999999</v>
      </c>
      <c r="Y313" s="231"/>
    </row>
    <row r="314" spans="1:25" s="230" customFormat="1" ht="15.6" x14ac:dyDescent="0.3">
      <c r="A314" s="202">
        <v>575</v>
      </c>
      <c r="B314" s="231"/>
      <c r="C314" s="225"/>
      <c r="D314" s="231"/>
      <c r="E314" s="231"/>
      <c r="F314" s="229"/>
      <c r="G314" s="229"/>
      <c r="H314" s="229"/>
      <c r="I314" s="229"/>
      <c r="J314" s="229"/>
      <c r="K314" s="235">
        <f t="shared" si="5"/>
        <v>0</v>
      </c>
      <c r="L314" s="229"/>
      <c r="M314" s="229"/>
      <c r="N314" s="229"/>
      <c r="O314" s="229"/>
      <c r="P314" s="229"/>
      <c r="Q314" s="229"/>
      <c r="R314" s="231"/>
      <c r="S314" s="229"/>
      <c r="T314" s="229"/>
      <c r="U314" s="229"/>
      <c r="V314" s="229"/>
      <c r="W314" s="229"/>
      <c r="X314" s="229"/>
      <c r="Y314" s="231"/>
    </row>
    <row r="315" spans="1:25" s="230" customFormat="1" ht="15.6" x14ac:dyDescent="0.3">
      <c r="A315" s="202">
        <v>576</v>
      </c>
      <c r="B315" s="231"/>
      <c r="C315" s="225"/>
      <c r="D315" s="231"/>
      <c r="E315" s="231"/>
      <c r="F315" s="229"/>
      <c r="G315" s="229"/>
      <c r="H315" s="229"/>
      <c r="I315" s="229"/>
      <c r="J315" s="229"/>
      <c r="K315" s="235">
        <f t="shared" si="5"/>
        <v>0</v>
      </c>
      <c r="L315" s="229"/>
      <c r="M315" s="229"/>
      <c r="N315" s="229"/>
      <c r="O315" s="229"/>
      <c r="P315" s="229"/>
      <c r="Q315" s="229"/>
      <c r="R315" s="231"/>
      <c r="S315" s="229"/>
      <c r="T315" s="229"/>
      <c r="U315" s="229"/>
      <c r="V315" s="229"/>
      <c r="W315" s="229"/>
      <c r="X315" s="229"/>
      <c r="Y315" s="231"/>
    </row>
    <row r="316" spans="1:25" s="230" customFormat="1" ht="15.6" x14ac:dyDescent="0.3">
      <c r="A316" s="202">
        <v>577</v>
      </c>
      <c r="B316" s="231"/>
      <c r="C316" s="225"/>
      <c r="D316" s="231"/>
      <c r="E316" s="231"/>
      <c r="F316" s="229"/>
      <c r="G316" s="229"/>
      <c r="H316" s="229"/>
      <c r="I316" s="229"/>
      <c r="J316" s="229"/>
      <c r="K316" s="235">
        <f t="shared" si="5"/>
        <v>0</v>
      </c>
      <c r="L316" s="229"/>
      <c r="M316" s="229"/>
      <c r="N316" s="229"/>
      <c r="O316" s="229"/>
      <c r="P316" s="229"/>
      <c r="Q316" s="229"/>
      <c r="R316" s="231"/>
      <c r="S316" s="229"/>
      <c r="T316" s="229"/>
      <c r="U316" s="229"/>
      <c r="V316" s="229"/>
      <c r="W316" s="229"/>
      <c r="X316" s="229"/>
      <c r="Y316" s="231"/>
    </row>
    <row r="317" spans="1:25" s="230" customFormat="1" ht="15.6" x14ac:dyDescent="0.3">
      <c r="A317" s="202">
        <v>578</v>
      </c>
      <c r="B317" s="231"/>
      <c r="C317" s="225"/>
      <c r="D317" s="231"/>
      <c r="E317" s="231"/>
      <c r="F317" s="229"/>
      <c r="G317" s="229"/>
      <c r="H317" s="229"/>
      <c r="I317" s="229"/>
      <c r="J317" s="229"/>
      <c r="K317" s="235">
        <f t="shared" si="5"/>
        <v>0</v>
      </c>
      <c r="L317" s="229"/>
      <c r="M317" s="229"/>
      <c r="N317" s="229"/>
      <c r="O317" s="229"/>
      <c r="P317" s="229"/>
      <c r="Q317" s="229"/>
      <c r="R317" s="231"/>
      <c r="S317" s="229"/>
      <c r="T317" s="229"/>
      <c r="U317" s="229"/>
      <c r="V317" s="229"/>
      <c r="W317" s="229"/>
      <c r="X317" s="229"/>
      <c r="Y317" s="231"/>
    </row>
    <row r="318" spans="1:25" s="230" customFormat="1" ht="15.6" x14ac:dyDescent="0.3">
      <c r="A318" s="202">
        <v>579</v>
      </c>
      <c r="B318" s="231"/>
      <c r="C318" s="225"/>
      <c r="D318" s="231"/>
      <c r="E318" s="231"/>
      <c r="F318" s="229"/>
      <c r="G318" s="229"/>
      <c r="H318" s="229"/>
      <c r="I318" s="229"/>
      <c r="J318" s="229"/>
      <c r="K318" s="235">
        <f t="shared" si="5"/>
        <v>0</v>
      </c>
      <c r="L318" s="229"/>
      <c r="M318" s="229"/>
      <c r="N318" s="229"/>
      <c r="O318" s="229"/>
      <c r="P318" s="229"/>
      <c r="Q318" s="229"/>
      <c r="R318" s="231"/>
      <c r="S318" s="229"/>
      <c r="T318" s="229"/>
      <c r="U318" s="229"/>
      <c r="V318" s="229"/>
      <c r="W318" s="229"/>
      <c r="X318" s="229"/>
      <c r="Y318" s="231"/>
    </row>
    <row r="319" spans="1:25" s="230" customFormat="1" ht="15.6" x14ac:dyDescent="0.3">
      <c r="A319" s="202">
        <v>580</v>
      </c>
      <c r="B319" s="231"/>
      <c r="C319" s="225"/>
      <c r="D319" s="231"/>
      <c r="E319" s="231"/>
      <c r="F319" s="229"/>
      <c r="G319" s="229"/>
      <c r="H319" s="229"/>
      <c r="I319" s="229"/>
      <c r="J319" s="229"/>
      <c r="K319" s="235">
        <f t="shared" si="5"/>
        <v>0</v>
      </c>
      <c r="L319" s="229"/>
      <c r="M319" s="229"/>
      <c r="N319" s="229"/>
      <c r="O319" s="229"/>
      <c r="P319" s="229"/>
      <c r="Q319" s="229"/>
      <c r="R319" s="231"/>
      <c r="S319" s="229"/>
      <c r="T319" s="229"/>
      <c r="U319" s="229"/>
      <c r="V319" s="229"/>
      <c r="W319" s="229"/>
      <c r="X319" s="229"/>
      <c r="Y319" s="231"/>
    </row>
    <row r="320" spans="1:25" s="230" customFormat="1" ht="15.6" x14ac:dyDescent="0.3">
      <c r="A320" s="202">
        <v>581</v>
      </c>
      <c r="B320" s="231"/>
      <c r="C320" s="225"/>
      <c r="D320" s="231"/>
      <c r="E320" s="231"/>
      <c r="F320" s="229"/>
      <c r="G320" s="229"/>
      <c r="H320" s="229"/>
      <c r="I320" s="229"/>
      <c r="J320" s="229"/>
      <c r="K320" s="235">
        <f t="shared" si="5"/>
        <v>0</v>
      </c>
      <c r="L320" s="229"/>
      <c r="M320" s="229"/>
      <c r="N320" s="229"/>
      <c r="O320" s="229"/>
      <c r="P320" s="229"/>
      <c r="Q320" s="229"/>
      <c r="R320" s="231"/>
      <c r="S320" s="229"/>
      <c r="T320" s="229"/>
      <c r="U320" s="229"/>
      <c r="V320" s="229"/>
      <c r="W320" s="229"/>
      <c r="X320" s="229"/>
      <c r="Y320" s="231"/>
    </row>
    <row r="321" spans="1:25" s="230" customFormat="1" ht="15.6" x14ac:dyDescent="0.3">
      <c r="A321" s="202">
        <v>582</v>
      </c>
      <c r="B321" s="231"/>
      <c r="C321" s="225"/>
      <c r="D321" s="231"/>
      <c r="E321" s="231"/>
      <c r="F321" s="229"/>
      <c r="G321" s="229"/>
      <c r="H321" s="229"/>
      <c r="I321" s="229"/>
      <c r="J321" s="229"/>
      <c r="K321" s="235">
        <f t="shared" si="5"/>
        <v>0</v>
      </c>
      <c r="L321" s="229"/>
      <c r="M321" s="229"/>
      <c r="N321" s="229"/>
      <c r="O321" s="229"/>
      <c r="P321" s="229"/>
      <c r="Q321" s="229"/>
      <c r="R321" s="231"/>
      <c r="S321" s="229"/>
      <c r="T321" s="229"/>
      <c r="U321" s="229"/>
      <c r="V321" s="229"/>
      <c r="W321" s="229"/>
      <c r="X321" s="229"/>
      <c r="Y321" s="231"/>
    </row>
    <row r="322" spans="1:25" s="230" customFormat="1" ht="15.6" x14ac:dyDescent="0.3">
      <c r="A322" s="202">
        <v>583</v>
      </c>
      <c r="B322" s="231"/>
      <c r="C322" s="225"/>
      <c r="D322" s="231"/>
      <c r="E322" s="231"/>
      <c r="F322" s="229"/>
      <c r="G322" s="229"/>
      <c r="H322" s="229"/>
      <c r="I322" s="229"/>
      <c r="J322" s="229"/>
      <c r="K322" s="235">
        <f t="shared" si="5"/>
        <v>0</v>
      </c>
      <c r="L322" s="229"/>
      <c r="M322" s="229"/>
      <c r="N322" s="229"/>
      <c r="O322" s="229"/>
      <c r="P322" s="229"/>
      <c r="Q322" s="229"/>
      <c r="R322" s="231"/>
      <c r="S322" s="229"/>
      <c r="T322" s="229"/>
      <c r="U322" s="229"/>
      <c r="V322" s="229"/>
      <c r="W322" s="229"/>
      <c r="X322" s="229"/>
      <c r="Y322" s="231"/>
    </row>
    <row r="323" spans="1:25" s="230" customFormat="1" ht="15.6" x14ac:dyDescent="0.3">
      <c r="A323" s="202">
        <v>584</v>
      </c>
      <c r="B323" s="231"/>
      <c r="C323" s="225"/>
      <c r="D323" s="231"/>
      <c r="E323" s="231"/>
      <c r="F323" s="229"/>
      <c r="G323" s="229"/>
      <c r="H323" s="229"/>
      <c r="I323" s="229"/>
      <c r="J323" s="229"/>
      <c r="K323" s="235">
        <f t="shared" si="5"/>
        <v>0</v>
      </c>
      <c r="L323" s="229"/>
      <c r="M323" s="229"/>
      <c r="N323" s="229"/>
      <c r="O323" s="229"/>
      <c r="P323" s="229"/>
      <c r="Q323" s="229"/>
      <c r="R323" s="231"/>
      <c r="S323" s="229"/>
      <c r="T323" s="229"/>
      <c r="U323" s="229"/>
      <c r="V323" s="229"/>
      <c r="W323" s="229"/>
      <c r="X323" s="229"/>
      <c r="Y323" s="231"/>
    </row>
    <row r="324" spans="1:25" s="230" customFormat="1" ht="15.6" x14ac:dyDescent="0.3">
      <c r="A324" s="205" t="s">
        <v>409</v>
      </c>
      <c r="B324" s="203"/>
      <c r="C324" s="226"/>
      <c r="D324" s="207"/>
      <c r="E324" s="207"/>
      <c r="F324" s="207"/>
      <c r="G324" s="207"/>
      <c r="H324" s="207"/>
      <c r="I324" s="207"/>
      <c r="J324" s="207"/>
      <c r="K324" s="235"/>
      <c r="L324" s="233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</row>
    <row r="325" spans="1:25" s="230" customFormat="1" ht="15.6" x14ac:dyDescent="0.3">
      <c r="A325" s="202">
        <v>601</v>
      </c>
      <c r="B325" s="203" t="s">
        <v>39</v>
      </c>
      <c r="C325" s="226"/>
      <c r="D325" s="207">
        <v>90</v>
      </c>
      <c r="E325" s="207"/>
      <c r="F325" s="207"/>
      <c r="G325" s="207"/>
      <c r="H325" s="207"/>
      <c r="I325" s="207"/>
      <c r="J325" s="207"/>
      <c r="K325" s="235">
        <f t="shared" ref="K325:K388" si="6">C325</f>
        <v>0</v>
      </c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</row>
    <row r="326" spans="1:25" s="230" customFormat="1" ht="15.6" x14ac:dyDescent="0.3">
      <c r="A326" s="202">
        <v>602</v>
      </c>
      <c r="B326" s="203" t="s">
        <v>40</v>
      </c>
      <c r="C326" s="226"/>
      <c r="D326" s="207">
        <v>90</v>
      </c>
      <c r="E326" s="207"/>
      <c r="F326" s="207"/>
      <c r="G326" s="207"/>
      <c r="H326" s="207"/>
      <c r="I326" s="207"/>
      <c r="J326" s="207"/>
      <c r="K326" s="235">
        <f t="shared" si="6"/>
        <v>0</v>
      </c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</row>
    <row r="327" spans="1:25" s="230" customFormat="1" ht="15.6" x14ac:dyDescent="0.3">
      <c r="A327" s="202">
        <v>603</v>
      </c>
      <c r="B327" s="203"/>
      <c r="C327" s="226"/>
      <c r="D327" s="207"/>
      <c r="E327" s="207"/>
      <c r="F327" s="207"/>
      <c r="G327" s="207"/>
      <c r="H327" s="207"/>
      <c r="I327" s="207"/>
      <c r="J327" s="207"/>
      <c r="K327" s="235">
        <f t="shared" si="6"/>
        <v>0</v>
      </c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</row>
    <row r="328" spans="1:25" s="230" customFormat="1" ht="15.6" x14ac:dyDescent="0.3">
      <c r="A328" s="202">
        <v>604</v>
      </c>
      <c r="B328" s="203"/>
      <c r="C328" s="226"/>
      <c r="D328" s="207"/>
      <c r="E328" s="207"/>
      <c r="F328" s="207"/>
      <c r="G328" s="207"/>
      <c r="H328" s="207"/>
      <c r="I328" s="207"/>
      <c r="J328" s="207"/>
      <c r="K328" s="235">
        <f t="shared" si="6"/>
        <v>0</v>
      </c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</row>
    <row r="329" spans="1:25" s="230" customFormat="1" ht="15.6" x14ac:dyDescent="0.3">
      <c r="A329" s="202">
        <v>605</v>
      </c>
      <c r="B329" s="203"/>
      <c r="C329" s="226"/>
      <c r="D329" s="207"/>
      <c r="E329" s="207"/>
      <c r="F329" s="207"/>
      <c r="G329" s="207"/>
      <c r="H329" s="207"/>
      <c r="I329" s="207"/>
      <c r="J329" s="207"/>
      <c r="K329" s="235">
        <f t="shared" si="6"/>
        <v>0</v>
      </c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</row>
    <row r="330" spans="1:25" s="230" customFormat="1" ht="15.6" x14ac:dyDescent="0.3">
      <c r="A330" s="202">
        <v>606</v>
      </c>
      <c r="B330" s="203"/>
      <c r="C330" s="226"/>
      <c r="D330" s="207"/>
      <c r="E330" s="207"/>
      <c r="F330" s="207"/>
      <c r="G330" s="207"/>
      <c r="H330" s="207"/>
      <c r="I330" s="207"/>
      <c r="J330" s="207"/>
      <c r="K330" s="235">
        <f t="shared" si="6"/>
        <v>0</v>
      </c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</row>
    <row r="331" spans="1:25" s="230" customFormat="1" ht="15.6" x14ac:dyDescent="0.3">
      <c r="A331" s="202">
        <v>607</v>
      </c>
      <c r="B331" s="203"/>
      <c r="C331" s="226"/>
      <c r="D331" s="207"/>
      <c r="E331" s="207"/>
      <c r="F331" s="207"/>
      <c r="G331" s="207"/>
      <c r="H331" s="207"/>
      <c r="I331" s="207"/>
      <c r="J331" s="207"/>
      <c r="K331" s="235">
        <f t="shared" si="6"/>
        <v>0</v>
      </c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</row>
    <row r="332" spans="1:25" s="230" customFormat="1" ht="15.6" x14ac:dyDescent="0.3">
      <c r="A332" s="205" t="s">
        <v>410</v>
      </c>
      <c r="B332" s="203"/>
      <c r="C332" s="226"/>
      <c r="D332" s="207"/>
      <c r="E332" s="207"/>
      <c r="F332" s="207"/>
      <c r="G332" s="207"/>
      <c r="H332" s="207"/>
      <c r="I332" s="207"/>
      <c r="J332" s="207"/>
      <c r="K332" s="235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</row>
    <row r="333" spans="1:25" s="230" customFormat="1" ht="15.6" x14ac:dyDescent="0.3">
      <c r="A333" s="202">
        <v>701</v>
      </c>
      <c r="B333" s="203" t="s">
        <v>41</v>
      </c>
      <c r="C333" s="226"/>
      <c r="D333" s="207">
        <v>90</v>
      </c>
      <c r="E333" s="207"/>
      <c r="F333" s="207"/>
      <c r="G333" s="207"/>
      <c r="H333" s="207"/>
      <c r="I333" s="207"/>
      <c r="J333" s="207"/>
      <c r="K333" s="235">
        <f t="shared" si="6"/>
        <v>0</v>
      </c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</row>
    <row r="334" spans="1:25" s="230" customFormat="1" ht="15.6" x14ac:dyDescent="0.3">
      <c r="A334" s="202">
        <v>702</v>
      </c>
      <c r="B334" s="203" t="s">
        <v>46</v>
      </c>
      <c r="C334" s="226"/>
      <c r="D334" s="207">
        <v>95.1</v>
      </c>
      <c r="E334" s="207"/>
      <c r="F334" s="207"/>
      <c r="G334" s="207"/>
      <c r="H334" s="207">
        <v>1.56</v>
      </c>
      <c r="I334" s="207">
        <v>1.91</v>
      </c>
      <c r="J334" s="207">
        <v>0.42</v>
      </c>
      <c r="K334" s="235">
        <f t="shared" si="6"/>
        <v>0</v>
      </c>
      <c r="L334" s="207">
        <v>7.83</v>
      </c>
      <c r="M334" s="207"/>
      <c r="N334" s="207"/>
      <c r="O334" s="207">
        <v>64</v>
      </c>
      <c r="P334" s="207">
        <v>38800</v>
      </c>
      <c r="Q334" s="207">
        <v>645</v>
      </c>
      <c r="R334" s="207"/>
      <c r="S334" s="207">
        <v>107</v>
      </c>
      <c r="T334" s="207"/>
      <c r="U334" s="207"/>
      <c r="V334" s="207"/>
      <c r="W334" s="207"/>
      <c r="X334" s="207"/>
      <c r="Y334" s="207"/>
    </row>
    <row r="335" spans="1:25" s="230" customFormat="1" ht="15.6" x14ac:dyDescent="0.3">
      <c r="A335" s="202">
        <v>703</v>
      </c>
      <c r="B335" s="203" t="s">
        <v>42</v>
      </c>
      <c r="C335" s="226"/>
      <c r="D335" s="207">
        <v>90</v>
      </c>
      <c r="E335" s="207"/>
      <c r="F335" s="207"/>
      <c r="G335" s="207"/>
      <c r="H335" s="207"/>
      <c r="I335" s="207"/>
      <c r="J335" s="207"/>
      <c r="K335" s="235">
        <f t="shared" si="6"/>
        <v>0</v>
      </c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</row>
    <row r="336" spans="1:25" s="230" customFormat="1" ht="15.6" x14ac:dyDescent="0.3">
      <c r="A336" s="202">
        <v>704</v>
      </c>
      <c r="B336" s="203" t="s">
        <v>43</v>
      </c>
      <c r="C336" s="226"/>
      <c r="D336" s="207">
        <v>90</v>
      </c>
      <c r="E336" s="207"/>
      <c r="F336" s="207"/>
      <c r="G336" s="207"/>
      <c r="H336" s="207"/>
      <c r="I336" s="207"/>
      <c r="J336" s="207"/>
      <c r="K336" s="235">
        <f t="shared" si="6"/>
        <v>0</v>
      </c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</row>
    <row r="337" spans="1:25" s="230" customFormat="1" ht="15.6" x14ac:dyDescent="0.3">
      <c r="A337" s="202">
        <v>705</v>
      </c>
      <c r="B337" s="203" t="s">
        <v>48</v>
      </c>
      <c r="C337" s="226"/>
      <c r="D337" s="207">
        <v>99</v>
      </c>
      <c r="E337" s="207">
        <v>0</v>
      </c>
      <c r="F337" s="207">
        <v>0</v>
      </c>
      <c r="G337" s="207">
        <v>288</v>
      </c>
      <c r="H337" s="207">
        <v>0</v>
      </c>
      <c r="I337" s="207">
        <v>0</v>
      </c>
      <c r="J337" s="207">
        <v>0</v>
      </c>
      <c r="K337" s="235">
        <f t="shared" si="6"/>
        <v>0</v>
      </c>
      <c r="L337" s="207"/>
      <c r="M337" s="207"/>
      <c r="N337" s="207"/>
      <c r="O337" s="207"/>
      <c r="P337" s="207"/>
      <c r="Q337" s="207"/>
      <c r="R337" s="207"/>
      <c r="S337" s="207"/>
      <c r="T337" s="207">
        <v>0</v>
      </c>
      <c r="U337" s="207"/>
      <c r="V337" s="207"/>
      <c r="W337" s="207"/>
      <c r="X337" s="207"/>
      <c r="Y337" s="207"/>
    </row>
    <row r="338" spans="1:25" s="230" customFormat="1" ht="15.6" x14ac:dyDescent="0.3">
      <c r="A338" s="202">
        <v>706</v>
      </c>
      <c r="B338" s="203"/>
      <c r="C338" s="226"/>
      <c r="D338" s="207"/>
      <c r="E338" s="207"/>
      <c r="F338" s="207"/>
      <c r="G338" s="207"/>
      <c r="H338" s="207"/>
      <c r="I338" s="207"/>
      <c r="J338" s="207"/>
      <c r="K338" s="235">
        <f t="shared" si="6"/>
        <v>0</v>
      </c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</row>
    <row r="339" spans="1:25" s="230" customFormat="1" ht="15.6" x14ac:dyDescent="0.3">
      <c r="A339" s="202">
        <v>707</v>
      </c>
      <c r="B339" s="203"/>
      <c r="C339" s="226"/>
      <c r="D339" s="207"/>
      <c r="E339" s="207"/>
      <c r="F339" s="207"/>
      <c r="G339" s="207"/>
      <c r="H339" s="207"/>
      <c r="I339" s="207"/>
      <c r="J339" s="207"/>
      <c r="K339" s="235">
        <f t="shared" si="6"/>
        <v>0</v>
      </c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</row>
    <row r="340" spans="1:25" s="230" customFormat="1" ht="15.6" x14ac:dyDescent="0.3">
      <c r="A340" s="202">
        <v>708</v>
      </c>
      <c r="B340" s="203"/>
      <c r="C340" s="226"/>
      <c r="D340" s="207"/>
      <c r="E340" s="207"/>
      <c r="F340" s="207"/>
      <c r="G340" s="207"/>
      <c r="H340" s="207"/>
      <c r="I340" s="207"/>
      <c r="J340" s="207"/>
      <c r="K340" s="235">
        <f t="shared" si="6"/>
        <v>0</v>
      </c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</row>
    <row r="341" spans="1:25" s="230" customFormat="1" ht="15.6" x14ac:dyDescent="0.3">
      <c r="A341" s="202">
        <v>709</v>
      </c>
      <c r="B341" s="203"/>
      <c r="C341" s="226"/>
      <c r="D341" s="207"/>
      <c r="E341" s="207"/>
      <c r="F341" s="207"/>
      <c r="G341" s="207"/>
      <c r="H341" s="207"/>
      <c r="I341" s="207"/>
      <c r="J341" s="207"/>
      <c r="K341" s="235">
        <f t="shared" si="6"/>
        <v>0</v>
      </c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</row>
    <row r="342" spans="1:25" s="230" customFormat="1" ht="15.6" x14ac:dyDescent="0.3">
      <c r="A342" s="202">
        <v>710</v>
      </c>
      <c r="B342" s="203"/>
      <c r="C342" s="226"/>
      <c r="D342" s="207"/>
      <c r="E342" s="207"/>
      <c r="F342" s="207"/>
      <c r="G342" s="207"/>
      <c r="H342" s="207"/>
      <c r="I342" s="207"/>
      <c r="J342" s="207"/>
      <c r="K342" s="235">
        <f t="shared" si="6"/>
        <v>0</v>
      </c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</row>
    <row r="343" spans="1:25" s="230" customFormat="1" ht="15.6" x14ac:dyDescent="0.3">
      <c r="A343" s="205" t="s">
        <v>411</v>
      </c>
      <c r="B343" s="203"/>
      <c r="C343" s="226"/>
      <c r="D343" s="207"/>
      <c r="E343" s="207"/>
      <c r="F343" s="207"/>
      <c r="G343" s="207"/>
      <c r="H343" s="207"/>
      <c r="I343" s="207"/>
      <c r="J343" s="207"/>
      <c r="K343" s="235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</row>
    <row r="344" spans="1:25" s="230" customFormat="1" ht="15.6" x14ac:dyDescent="0.3">
      <c r="A344" s="202">
        <v>801</v>
      </c>
      <c r="B344" s="204" t="s">
        <v>163</v>
      </c>
      <c r="C344" s="226"/>
      <c r="D344" s="207">
        <v>99</v>
      </c>
      <c r="E344" s="207"/>
      <c r="F344" s="207"/>
      <c r="G344" s="207"/>
      <c r="H344" s="207">
        <v>0.5</v>
      </c>
      <c r="I344" s="207">
        <v>12.5</v>
      </c>
      <c r="J344" s="207">
        <v>12</v>
      </c>
      <c r="K344" s="235">
        <f t="shared" si="6"/>
        <v>0</v>
      </c>
      <c r="L344" s="207">
        <v>1.5</v>
      </c>
      <c r="M344" s="207"/>
      <c r="N344" s="207">
        <v>10</v>
      </c>
      <c r="O344" s="207">
        <v>100</v>
      </c>
      <c r="P344" s="207"/>
      <c r="Q344" s="207">
        <v>300</v>
      </c>
      <c r="R344" s="207">
        <v>15</v>
      </c>
      <c r="S344" s="207">
        <v>900</v>
      </c>
      <c r="T344" s="207"/>
      <c r="U344" s="207"/>
      <c r="V344" s="207"/>
      <c r="W344" s="207"/>
      <c r="X344" s="207"/>
      <c r="Y344" s="207"/>
    </row>
    <row r="345" spans="1:25" s="230" customFormat="1" ht="15.6" x14ac:dyDescent="0.3">
      <c r="A345" s="202">
        <v>802</v>
      </c>
      <c r="B345" s="204" t="s">
        <v>162</v>
      </c>
      <c r="C345" s="226"/>
      <c r="D345" s="207">
        <v>99</v>
      </c>
      <c r="E345" s="207"/>
      <c r="F345" s="207"/>
      <c r="G345" s="207"/>
      <c r="H345" s="207">
        <v>0.1</v>
      </c>
      <c r="I345" s="207">
        <v>15</v>
      </c>
      <c r="J345" s="207">
        <v>8</v>
      </c>
      <c r="K345" s="235">
        <f t="shared" si="6"/>
        <v>0</v>
      </c>
      <c r="L345" s="207">
        <v>0.3</v>
      </c>
      <c r="M345" s="207"/>
      <c r="N345" s="207"/>
      <c r="O345" s="207">
        <v>30</v>
      </c>
      <c r="P345" s="207"/>
      <c r="Q345" s="207"/>
      <c r="R345" s="207"/>
      <c r="S345" s="207">
        <v>180</v>
      </c>
      <c r="T345" s="207"/>
      <c r="U345" s="207"/>
      <c r="V345" s="207"/>
      <c r="W345" s="207"/>
      <c r="X345" s="207"/>
      <c r="Y345" s="207"/>
    </row>
    <row r="346" spans="1:25" s="230" customFormat="1" ht="15.6" x14ac:dyDescent="0.3">
      <c r="A346" s="202">
        <v>803</v>
      </c>
      <c r="B346" s="203" t="s">
        <v>49</v>
      </c>
      <c r="C346" s="226"/>
      <c r="D346" s="207">
        <v>99</v>
      </c>
      <c r="E346" s="207"/>
      <c r="F346" s="207"/>
      <c r="G346" s="207"/>
      <c r="H346" s="207"/>
      <c r="I346" s="207"/>
      <c r="J346" s="207"/>
      <c r="K346" s="235">
        <f t="shared" si="6"/>
        <v>0</v>
      </c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</row>
    <row r="347" spans="1:25" s="230" customFormat="1" ht="15.6" x14ac:dyDescent="0.3">
      <c r="A347" s="202">
        <v>804</v>
      </c>
      <c r="B347" s="203" t="s">
        <v>50</v>
      </c>
      <c r="C347" s="226"/>
      <c r="D347" s="207">
        <v>99</v>
      </c>
      <c r="E347" s="207"/>
      <c r="F347" s="207"/>
      <c r="G347" s="207"/>
      <c r="H347" s="207"/>
      <c r="I347" s="207"/>
      <c r="J347" s="207"/>
      <c r="K347" s="235">
        <f t="shared" si="6"/>
        <v>0</v>
      </c>
      <c r="L347" s="207"/>
      <c r="M347" s="207"/>
      <c r="N347" s="207">
        <v>460000</v>
      </c>
      <c r="O347" s="207"/>
      <c r="P347" s="207"/>
      <c r="Q347" s="207"/>
      <c r="R347" s="207"/>
      <c r="S347" s="207"/>
      <c r="T347" s="207"/>
      <c r="U347" s="207"/>
      <c r="V347" s="207"/>
      <c r="W347" s="207"/>
      <c r="X347" s="207"/>
      <c r="Y347" s="207"/>
    </row>
    <row r="348" spans="1:25" s="230" customFormat="1" ht="15.6" x14ac:dyDescent="0.3">
      <c r="A348" s="202">
        <v>805</v>
      </c>
      <c r="B348" s="203" t="s">
        <v>51</v>
      </c>
      <c r="C348" s="226"/>
      <c r="D348" s="207">
        <v>99</v>
      </c>
      <c r="E348" s="207"/>
      <c r="F348" s="207"/>
      <c r="G348" s="207"/>
      <c r="H348" s="207"/>
      <c r="I348" s="207"/>
      <c r="J348" s="207"/>
      <c r="K348" s="235">
        <f t="shared" si="6"/>
        <v>0</v>
      </c>
      <c r="L348" s="207"/>
      <c r="M348" s="207"/>
      <c r="N348" s="207">
        <v>333000</v>
      </c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</row>
    <row r="349" spans="1:25" s="230" customFormat="1" ht="15.6" x14ac:dyDescent="0.3">
      <c r="A349" s="202">
        <v>806</v>
      </c>
      <c r="B349" s="203" t="s">
        <v>52</v>
      </c>
      <c r="C349" s="226"/>
      <c r="D349" s="207">
        <v>99</v>
      </c>
      <c r="E349" s="207"/>
      <c r="F349" s="207"/>
      <c r="G349" s="207"/>
      <c r="H349" s="207"/>
      <c r="I349" s="207"/>
      <c r="J349" s="207"/>
      <c r="K349" s="235">
        <f t="shared" si="6"/>
        <v>0</v>
      </c>
      <c r="L349" s="207"/>
      <c r="M349" s="207"/>
      <c r="N349" s="207"/>
      <c r="O349" s="207">
        <v>252000</v>
      </c>
      <c r="P349" s="207"/>
      <c r="Q349" s="207"/>
      <c r="R349" s="207"/>
      <c r="S349" s="207"/>
      <c r="T349" s="207"/>
      <c r="U349" s="207"/>
      <c r="V349" s="207"/>
      <c r="W349" s="207"/>
      <c r="X349" s="207"/>
      <c r="Y349" s="207"/>
    </row>
    <row r="350" spans="1:25" s="230" customFormat="1" ht="15.6" x14ac:dyDescent="0.3">
      <c r="A350" s="202">
        <v>807</v>
      </c>
      <c r="B350" s="203" t="s">
        <v>44</v>
      </c>
      <c r="C350" s="226"/>
      <c r="D350" s="207">
        <v>97</v>
      </c>
      <c r="E350" s="207">
        <v>0</v>
      </c>
      <c r="F350" s="207">
        <v>0</v>
      </c>
      <c r="G350" s="207">
        <v>0</v>
      </c>
      <c r="H350" s="207">
        <v>0</v>
      </c>
      <c r="I350" s="207">
        <v>22</v>
      </c>
      <c r="J350" s="207">
        <v>19.3</v>
      </c>
      <c r="K350" s="235">
        <f t="shared" si="6"/>
        <v>0</v>
      </c>
      <c r="L350" s="207">
        <v>0.59</v>
      </c>
      <c r="M350" s="207">
        <v>1.1399999999999999</v>
      </c>
      <c r="N350" s="207">
        <v>0</v>
      </c>
      <c r="O350" s="207">
        <v>10</v>
      </c>
      <c r="P350" s="207">
        <v>14400</v>
      </c>
      <c r="Q350" s="207">
        <v>330</v>
      </c>
      <c r="R350" s="207">
        <v>0</v>
      </c>
      <c r="S350" s="207">
        <v>100</v>
      </c>
      <c r="T350" s="207">
        <v>0</v>
      </c>
      <c r="U350" s="207"/>
      <c r="V350" s="207"/>
      <c r="W350" s="207"/>
      <c r="X350" s="207"/>
      <c r="Y350" s="207"/>
    </row>
    <row r="351" spans="1:25" s="230" customFormat="1" ht="15.6" x14ac:dyDescent="0.3">
      <c r="A351" s="202">
        <v>808</v>
      </c>
      <c r="B351" s="203" t="s">
        <v>53</v>
      </c>
      <c r="C351" s="226"/>
      <c r="D351" s="207">
        <v>99</v>
      </c>
      <c r="E351" s="207"/>
      <c r="F351" s="207"/>
      <c r="G351" s="207"/>
      <c r="H351" s="207"/>
      <c r="I351" s="207"/>
      <c r="J351" s="207"/>
      <c r="K351" s="235">
        <f t="shared" si="6"/>
        <v>0</v>
      </c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</row>
    <row r="352" spans="1:25" s="230" customFormat="1" ht="15.6" x14ac:dyDescent="0.3">
      <c r="A352" s="202">
        <v>809</v>
      </c>
      <c r="B352" s="203" t="s">
        <v>45</v>
      </c>
      <c r="C352" s="226">
        <v>5</v>
      </c>
      <c r="D352" s="207">
        <v>99.6</v>
      </c>
      <c r="E352" s="207">
        <v>0</v>
      </c>
      <c r="F352" s="207">
        <v>0</v>
      </c>
      <c r="G352" s="207">
        <v>0</v>
      </c>
      <c r="H352" s="207">
        <v>0.09</v>
      </c>
      <c r="I352" s="207">
        <v>39.4</v>
      </c>
      <c r="J352" s="207">
        <v>0.09</v>
      </c>
      <c r="K352" s="235">
        <f t="shared" si="6"/>
        <v>5</v>
      </c>
      <c r="L352" s="207">
        <v>0.17</v>
      </c>
      <c r="M352" s="207">
        <v>0.01</v>
      </c>
      <c r="N352" s="207">
        <v>0</v>
      </c>
      <c r="O352" s="207">
        <v>33</v>
      </c>
      <c r="P352" s="207">
        <v>542</v>
      </c>
      <c r="Q352" s="207">
        <v>281</v>
      </c>
      <c r="R352" s="207">
        <v>0</v>
      </c>
      <c r="S352" s="207">
        <v>39</v>
      </c>
      <c r="T352" s="207">
        <v>0</v>
      </c>
      <c r="U352" s="207"/>
      <c r="V352" s="207"/>
      <c r="W352" s="207"/>
      <c r="X352" s="207"/>
      <c r="Y352" s="207"/>
    </row>
    <row r="353" spans="1:25" s="230" customFormat="1" ht="15.6" x14ac:dyDescent="0.3">
      <c r="A353" s="202">
        <v>810</v>
      </c>
      <c r="B353" s="203" t="s">
        <v>54</v>
      </c>
      <c r="C353" s="226"/>
      <c r="D353" s="207">
        <v>99</v>
      </c>
      <c r="E353" s="207"/>
      <c r="F353" s="207"/>
      <c r="G353" s="207"/>
      <c r="H353" s="207"/>
      <c r="I353" s="207"/>
      <c r="J353" s="207"/>
      <c r="K353" s="235">
        <f t="shared" si="6"/>
        <v>0</v>
      </c>
      <c r="L353" s="207">
        <v>54</v>
      </c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207"/>
    </row>
    <row r="354" spans="1:25" s="230" customFormat="1" ht="15.6" x14ac:dyDescent="0.3">
      <c r="A354" s="202">
        <v>811</v>
      </c>
      <c r="B354" s="203" t="s">
        <v>55</v>
      </c>
      <c r="C354" s="226"/>
      <c r="D354" s="207">
        <v>99</v>
      </c>
      <c r="E354" s="207"/>
      <c r="F354" s="207"/>
      <c r="G354" s="207"/>
      <c r="H354" s="207"/>
      <c r="I354" s="207"/>
      <c r="J354" s="207"/>
      <c r="K354" s="235">
        <f t="shared" si="6"/>
        <v>0</v>
      </c>
      <c r="L354" s="207"/>
      <c r="M354" s="207"/>
      <c r="N354" s="207"/>
      <c r="O354" s="207"/>
      <c r="P354" s="207"/>
      <c r="Q354" s="207">
        <v>600000</v>
      </c>
      <c r="R354" s="207"/>
      <c r="S354" s="207"/>
      <c r="T354" s="207"/>
      <c r="U354" s="207"/>
      <c r="V354" s="207"/>
      <c r="W354" s="207"/>
      <c r="X354" s="207"/>
      <c r="Y354" s="207"/>
    </row>
    <row r="355" spans="1:25" s="230" customFormat="1" ht="15.6" x14ac:dyDescent="0.3">
      <c r="A355" s="202">
        <v>812</v>
      </c>
      <c r="B355" s="206" t="s">
        <v>115</v>
      </c>
      <c r="C355" s="226"/>
      <c r="D355" s="207">
        <v>99</v>
      </c>
      <c r="E355" s="207"/>
      <c r="F355" s="207"/>
      <c r="G355" s="207"/>
      <c r="H355" s="207">
        <v>50.54</v>
      </c>
      <c r="I355" s="207">
        <v>0.05</v>
      </c>
      <c r="J355" s="207"/>
      <c r="K355" s="235">
        <f t="shared" si="6"/>
        <v>0</v>
      </c>
      <c r="L355" s="207">
        <v>0.11</v>
      </c>
      <c r="M355" s="207">
        <v>0.19</v>
      </c>
      <c r="N355" s="207"/>
      <c r="O355" s="207"/>
      <c r="P355" s="207">
        <v>600</v>
      </c>
      <c r="Q355" s="207"/>
      <c r="R355" s="207"/>
      <c r="S355" s="207"/>
      <c r="T355" s="207"/>
      <c r="U355" s="207"/>
      <c r="V355" s="207"/>
      <c r="W355" s="207"/>
      <c r="X355" s="207"/>
      <c r="Y355" s="207"/>
    </row>
    <row r="356" spans="1:25" s="230" customFormat="1" ht="15.6" x14ac:dyDescent="0.3">
      <c r="A356" s="202">
        <v>813</v>
      </c>
      <c r="B356" s="203" t="s">
        <v>56</v>
      </c>
      <c r="C356" s="226"/>
      <c r="D356" s="207">
        <v>99</v>
      </c>
      <c r="E356" s="207"/>
      <c r="F356" s="207"/>
      <c r="G356" s="207"/>
      <c r="H356" s="207"/>
      <c r="I356" s="207"/>
      <c r="J356" s="207"/>
      <c r="K356" s="235">
        <f t="shared" si="6"/>
        <v>0</v>
      </c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</row>
    <row r="357" spans="1:25" s="230" customFormat="1" ht="15.6" x14ac:dyDescent="0.3">
      <c r="A357" s="202">
        <v>814</v>
      </c>
      <c r="B357" s="203" t="s">
        <v>47</v>
      </c>
      <c r="C357" s="226"/>
      <c r="D357" s="207">
        <v>97</v>
      </c>
      <c r="E357" s="207">
        <v>0</v>
      </c>
      <c r="F357" s="207">
        <v>0</v>
      </c>
      <c r="G357" s="207">
        <v>0</v>
      </c>
      <c r="H357" s="207">
        <v>0</v>
      </c>
      <c r="I357" s="207">
        <v>0</v>
      </c>
      <c r="J357" s="207">
        <v>0</v>
      </c>
      <c r="K357" s="235">
        <f t="shared" si="6"/>
        <v>0</v>
      </c>
      <c r="L357" s="207"/>
      <c r="M357" s="207"/>
      <c r="N357" s="207"/>
      <c r="O357" s="207"/>
      <c r="P357" s="207"/>
      <c r="Q357" s="207"/>
      <c r="R357" s="207"/>
      <c r="S357" s="207"/>
      <c r="T357" s="207">
        <v>0</v>
      </c>
      <c r="U357" s="207"/>
      <c r="V357" s="207"/>
      <c r="W357" s="207"/>
      <c r="X357" s="207"/>
      <c r="Y357" s="207"/>
    </row>
    <row r="358" spans="1:25" s="230" customFormat="1" ht="15.6" x14ac:dyDescent="0.3">
      <c r="A358" s="202">
        <v>815</v>
      </c>
      <c r="B358" s="203" t="s">
        <v>57</v>
      </c>
      <c r="C358" s="226"/>
      <c r="D358" s="207">
        <v>99</v>
      </c>
      <c r="E358" s="207"/>
      <c r="F358" s="207"/>
      <c r="G358" s="207"/>
      <c r="H358" s="207"/>
      <c r="I358" s="207"/>
      <c r="J358" s="207"/>
      <c r="K358" s="235">
        <f t="shared" si="6"/>
        <v>0</v>
      </c>
      <c r="L358" s="207"/>
      <c r="M358" s="207"/>
      <c r="N358" s="207"/>
      <c r="O358" s="207"/>
      <c r="P358" s="207"/>
      <c r="Q358" s="207"/>
      <c r="R358" s="207">
        <v>600</v>
      </c>
      <c r="S358" s="207"/>
      <c r="T358" s="207"/>
      <c r="U358" s="207"/>
      <c r="V358" s="207"/>
      <c r="W358" s="207"/>
      <c r="X358" s="207"/>
      <c r="Y358" s="207"/>
    </row>
    <row r="359" spans="1:25" s="230" customFormat="1" ht="15.6" x14ac:dyDescent="0.3">
      <c r="A359" s="202">
        <v>816</v>
      </c>
      <c r="B359" s="203" t="s">
        <v>58</v>
      </c>
      <c r="C359" s="226"/>
      <c r="D359" s="207">
        <v>97</v>
      </c>
      <c r="E359" s="207"/>
      <c r="F359" s="207"/>
      <c r="G359" s="207"/>
      <c r="H359" s="207"/>
      <c r="I359" s="207"/>
      <c r="J359" s="207"/>
      <c r="K359" s="235">
        <f t="shared" si="6"/>
        <v>0</v>
      </c>
      <c r="L359" s="207"/>
      <c r="M359" s="207"/>
      <c r="N359" s="207"/>
      <c r="O359" s="207"/>
      <c r="P359" s="207"/>
      <c r="Q359" s="207"/>
      <c r="R359" s="207"/>
      <c r="S359" s="207">
        <v>720000</v>
      </c>
      <c r="T359" s="207"/>
      <c r="U359" s="207"/>
      <c r="V359" s="207"/>
      <c r="W359" s="207"/>
      <c r="X359" s="207"/>
      <c r="Y359" s="207"/>
    </row>
    <row r="360" spans="1:25" s="230" customFormat="1" ht="15.6" x14ac:dyDescent="0.3">
      <c r="A360" s="202">
        <v>817</v>
      </c>
      <c r="B360" s="203" t="s">
        <v>59</v>
      </c>
      <c r="C360" s="226"/>
      <c r="D360" s="207">
        <v>99</v>
      </c>
      <c r="E360" s="207"/>
      <c r="F360" s="207"/>
      <c r="G360" s="207"/>
      <c r="H360" s="207"/>
      <c r="I360" s="207"/>
      <c r="J360" s="207"/>
      <c r="K360" s="235">
        <f t="shared" si="6"/>
        <v>0</v>
      </c>
      <c r="L360" s="207"/>
      <c r="M360" s="207"/>
      <c r="N360" s="207"/>
      <c r="O360" s="207"/>
      <c r="P360" s="207"/>
      <c r="Q360" s="207"/>
      <c r="R360" s="207"/>
      <c r="S360" s="207">
        <v>360000</v>
      </c>
      <c r="T360" s="207"/>
      <c r="U360" s="207"/>
      <c r="V360" s="207"/>
      <c r="W360" s="207"/>
      <c r="X360" s="207"/>
      <c r="Y360" s="207"/>
    </row>
    <row r="361" spans="1:25" s="230" customFormat="1" ht="15.6" x14ac:dyDescent="0.3">
      <c r="A361" s="202">
        <v>818</v>
      </c>
      <c r="B361" s="203"/>
      <c r="C361" s="226"/>
      <c r="D361" s="207"/>
      <c r="E361" s="207"/>
      <c r="F361" s="207"/>
      <c r="G361" s="207"/>
      <c r="H361" s="207"/>
      <c r="I361" s="207"/>
      <c r="J361" s="207"/>
      <c r="K361" s="235">
        <f t="shared" si="6"/>
        <v>0</v>
      </c>
      <c r="L361" s="233"/>
      <c r="M361" s="207"/>
      <c r="N361" s="207"/>
      <c r="O361" s="207"/>
      <c r="P361" s="207"/>
      <c r="Q361" s="207"/>
      <c r="R361" s="207"/>
      <c r="S361" s="207"/>
      <c r="T361" s="207"/>
      <c r="U361" s="207"/>
      <c r="V361" s="207"/>
      <c r="W361" s="207"/>
      <c r="X361" s="207"/>
      <c r="Y361" s="207"/>
    </row>
    <row r="362" spans="1:25" s="230" customFormat="1" ht="15.6" x14ac:dyDescent="0.3">
      <c r="A362" s="202">
        <v>819</v>
      </c>
      <c r="B362" s="204"/>
      <c r="C362" s="226"/>
      <c r="D362" s="207"/>
      <c r="E362" s="207"/>
      <c r="F362" s="207"/>
      <c r="G362" s="207"/>
      <c r="H362" s="207"/>
      <c r="I362" s="207"/>
      <c r="J362" s="207"/>
      <c r="K362" s="235">
        <f t="shared" si="6"/>
        <v>0</v>
      </c>
      <c r="L362" s="233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  <c r="W362" s="207"/>
      <c r="X362" s="207"/>
      <c r="Y362" s="207"/>
    </row>
    <row r="363" spans="1:25" s="230" customFormat="1" ht="15.6" x14ac:dyDescent="0.3">
      <c r="A363" s="202">
        <v>820</v>
      </c>
      <c r="B363" s="204"/>
      <c r="C363" s="226"/>
      <c r="D363" s="207"/>
      <c r="E363" s="207"/>
      <c r="F363" s="207"/>
      <c r="G363" s="207"/>
      <c r="H363" s="207"/>
      <c r="I363" s="207"/>
      <c r="J363" s="207"/>
      <c r="K363" s="235">
        <f t="shared" si="6"/>
        <v>0</v>
      </c>
      <c r="L363" s="233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</row>
    <row r="364" spans="1:25" s="230" customFormat="1" ht="15.6" x14ac:dyDescent="0.3">
      <c r="A364" s="202">
        <v>821</v>
      </c>
      <c r="B364" s="204"/>
      <c r="C364" s="226"/>
      <c r="D364" s="207"/>
      <c r="E364" s="207"/>
      <c r="F364" s="207"/>
      <c r="G364" s="207"/>
      <c r="H364" s="207"/>
      <c r="I364" s="207"/>
      <c r="J364" s="207"/>
      <c r="K364" s="235">
        <f t="shared" si="6"/>
        <v>0</v>
      </c>
      <c r="L364" s="233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207"/>
      <c r="Y364" s="207"/>
    </row>
    <row r="365" spans="1:25" s="230" customFormat="1" ht="15.6" x14ac:dyDescent="0.3">
      <c r="A365" s="202">
        <v>822</v>
      </c>
      <c r="B365" s="231"/>
      <c r="C365" s="225"/>
      <c r="D365" s="231"/>
      <c r="E365" s="231"/>
      <c r="F365" s="231"/>
      <c r="G365" s="231"/>
      <c r="H365" s="231"/>
      <c r="I365" s="231"/>
      <c r="J365" s="231"/>
      <c r="K365" s="235">
        <f t="shared" si="6"/>
        <v>0</v>
      </c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</row>
    <row r="366" spans="1:25" s="230" customFormat="1" ht="15.6" x14ac:dyDescent="0.3">
      <c r="A366" s="202">
        <v>823</v>
      </c>
      <c r="B366" s="231"/>
      <c r="C366" s="225"/>
      <c r="D366" s="231"/>
      <c r="E366" s="231"/>
      <c r="F366" s="231"/>
      <c r="G366" s="231"/>
      <c r="H366" s="231"/>
      <c r="I366" s="231"/>
      <c r="J366" s="231"/>
      <c r="K366" s="235">
        <f t="shared" si="6"/>
        <v>0</v>
      </c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</row>
    <row r="367" spans="1:25" s="230" customFormat="1" ht="15.6" x14ac:dyDescent="0.3">
      <c r="A367" s="202">
        <v>824</v>
      </c>
      <c r="B367" s="231"/>
      <c r="C367" s="225"/>
      <c r="D367" s="231"/>
      <c r="E367" s="231"/>
      <c r="F367" s="231"/>
      <c r="G367" s="231"/>
      <c r="H367" s="231"/>
      <c r="I367" s="231"/>
      <c r="J367" s="231"/>
      <c r="K367" s="235">
        <f t="shared" si="6"/>
        <v>0</v>
      </c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</row>
    <row r="368" spans="1:25" s="230" customFormat="1" ht="15.6" x14ac:dyDescent="0.3">
      <c r="A368" s="202">
        <v>825</v>
      </c>
      <c r="B368" s="231"/>
      <c r="C368" s="225"/>
      <c r="D368" s="231"/>
      <c r="E368" s="231"/>
      <c r="F368" s="231"/>
      <c r="G368" s="231"/>
      <c r="H368" s="231"/>
      <c r="I368" s="231"/>
      <c r="J368" s="231"/>
      <c r="K368" s="235">
        <f t="shared" si="6"/>
        <v>0</v>
      </c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</row>
    <row r="369" spans="1:25" s="230" customFormat="1" ht="15.6" x14ac:dyDescent="0.3">
      <c r="A369" s="202">
        <v>826</v>
      </c>
      <c r="B369" s="231"/>
      <c r="C369" s="225"/>
      <c r="D369" s="231"/>
      <c r="E369" s="231"/>
      <c r="F369" s="231"/>
      <c r="G369" s="231"/>
      <c r="H369" s="231"/>
      <c r="I369" s="231"/>
      <c r="J369" s="231"/>
      <c r="K369" s="235">
        <f t="shared" si="6"/>
        <v>0</v>
      </c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</row>
    <row r="370" spans="1:25" s="230" customFormat="1" ht="15.6" x14ac:dyDescent="0.3">
      <c r="A370" s="202">
        <v>827</v>
      </c>
      <c r="B370" s="188"/>
      <c r="C370" s="227"/>
      <c r="D370" s="188"/>
      <c r="E370" s="188"/>
      <c r="F370" s="188"/>
      <c r="G370" s="188"/>
      <c r="H370" s="188"/>
      <c r="I370" s="188"/>
      <c r="J370" s="188"/>
      <c r="K370" s="235">
        <f t="shared" si="6"/>
        <v>0</v>
      </c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</row>
    <row r="371" spans="1:25" s="230" customFormat="1" ht="15.6" x14ac:dyDescent="0.3">
      <c r="A371" s="208" t="s">
        <v>412</v>
      </c>
      <c r="B371" s="188"/>
      <c r="C371" s="227"/>
      <c r="D371" s="188"/>
      <c r="E371" s="188"/>
      <c r="F371" s="188"/>
      <c r="G371" s="188"/>
      <c r="H371" s="188"/>
      <c r="I371" s="188"/>
      <c r="J371" s="188"/>
      <c r="K371" s="235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</row>
    <row r="372" spans="1:25" s="230" customFormat="1" ht="15.6" x14ac:dyDescent="0.3">
      <c r="A372" s="202">
        <v>901</v>
      </c>
      <c r="B372" s="188" t="s">
        <v>419</v>
      </c>
      <c r="C372" s="227"/>
      <c r="D372" s="188">
        <v>0</v>
      </c>
      <c r="E372" s="188"/>
      <c r="F372" s="188"/>
      <c r="G372" s="188"/>
      <c r="H372" s="188"/>
      <c r="I372" s="188"/>
      <c r="J372" s="188"/>
      <c r="K372" s="235">
        <f t="shared" si="6"/>
        <v>0</v>
      </c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</row>
    <row r="373" spans="1:25" s="230" customFormat="1" ht="15.6" x14ac:dyDescent="0.3">
      <c r="A373" s="202">
        <v>902</v>
      </c>
      <c r="B373" s="188"/>
      <c r="C373" s="227"/>
      <c r="D373" s="188"/>
      <c r="E373" s="188"/>
      <c r="F373" s="188"/>
      <c r="G373" s="188"/>
      <c r="H373" s="188"/>
      <c r="I373" s="188"/>
      <c r="J373" s="188"/>
      <c r="K373" s="235">
        <f t="shared" si="6"/>
        <v>0</v>
      </c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</row>
    <row r="374" spans="1:25" s="230" customFormat="1" ht="15.6" x14ac:dyDescent="0.3">
      <c r="A374" s="202">
        <v>903</v>
      </c>
      <c r="B374" s="188"/>
      <c r="C374" s="227"/>
      <c r="D374" s="188"/>
      <c r="E374" s="188"/>
      <c r="F374" s="188"/>
      <c r="G374" s="188"/>
      <c r="H374" s="188"/>
      <c r="I374" s="188"/>
      <c r="J374" s="188"/>
      <c r="K374" s="235">
        <f t="shared" si="6"/>
        <v>0</v>
      </c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</row>
    <row r="375" spans="1:25" s="230" customFormat="1" ht="15.6" x14ac:dyDescent="0.3">
      <c r="A375" s="202">
        <v>904</v>
      </c>
      <c r="B375" s="188"/>
      <c r="C375" s="227"/>
      <c r="D375" s="188"/>
      <c r="E375" s="188"/>
      <c r="F375" s="188"/>
      <c r="G375" s="188"/>
      <c r="H375" s="188"/>
      <c r="I375" s="188"/>
      <c r="J375" s="188"/>
      <c r="K375" s="235">
        <f t="shared" si="6"/>
        <v>0</v>
      </c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</row>
    <row r="376" spans="1:25" s="230" customFormat="1" ht="15.6" x14ac:dyDescent="0.3">
      <c r="A376" s="202">
        <v>905</v>
      </c>
      <c r="B376" s="188"/>
      <c r="C376" s="227"/>
      <c r="D376" s="188"/>
      <c r="E376" s="188"/>
      <c r="F376" s="188"/>
      <c r="G376" s="188"/>
      <c r="H376" s="188"/>
      <c r="I376" s="188"/>
      <c r="J376" s="188"/>
      <c r="K376" s="235">
        <f t="shared" si="6"/>
        <v>0</v>
      </c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</row>
    <row r="377" spans="1:25" s="230" customFormat="1" ht="15.6" x14ac:dyDescent="0.3">
      <c r="A377" s="202">
        <v>906</v>
      </c>
      <c r="B377" s="188"/>
      <c r="C377" s="227"/>
      <c r="D377" s="188"/>
      <c r="E377" s="188"/>
      <c r="F377" s="188"/>
      <c r="G377" s="188"/>
      <c r="H377" s="188"/>
      <c r="I377" s="188"/>
      <c r="J377" s="188"/>
      <c r="K377" s="235">
        <f t="shared" si="6"/>
        <v>0</v>
      </c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</row>
    <row r="378" spans="1:25" s="230" customFormat="1" ht="15.6" x14ac:dyDescent="0.3">
      <c r="A378" s="202">
        <v>907</v>
      </c>
      <c r="B378" s="188"/>
      <c r="C378" s="227"/>
      <c r="D378" s="188"/>
      <c r="E378" s="188"/>
      <c r="F378" s="188"/>
      <c r="G378" s="188"/>
      <c r="H378" s="188"/>
      <c r="I378" s="188"/>
      <c r="J378" s="188"/>
      <c r="K378" s="235">
        <f t="shared" si="6"/>
        <v>0</v>
      </c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</row>
    <row r="379" spans="1:25" s="230" customFormat="1" ht="15.6" x14ac:dyDescent="0.3">
      <c r="A379" s="202">
        <v>908</v>
      </c>
      <c r="B379" s="188"/>
      <c r="C379" s="227"/>
      <c r="D379" s="188"/>
      <c r="E379" s="188"/>
      <c r="F379" s="188"/>
      <c r="G379" s="188"/>
      <c r="H379" s="188"/>
      <c r="I379" s="188"/>
      <c r="J379" s="188"/>
      <c r="K379" s="235">
        <f t="shared" si="6"/>
        <v>0</v>
      </c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</row>
    <row r="380" spans="1:25" s="230" customFormat="1" ht="15.6" x14ac:dyDescent="0.3">
      <c r="A380" s="202">
        <v>909</v>
      </c>
      <c r="B380" s="188"/>
      <c r="C380" s="227"/>
      <c r="D380" s="188"/>
      <c r="E380" s="188"/>
      <c r="F380" s="188"/>
      <c r="G380" s="188"/>
      <c r="H380" s="188"/>
      <c r="I380" s="188"/>
      <c r="J380" s="188"/>
      <c r="K380" s="235">
        <f t="shared" si="6"/>
        <v>0</v>
      </c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</row>
    <row r="381" spans="1:25" s="230" customFormat="1" ht="15.6" x14ac:dyDescent="0.3">
      <c r="A381" s="202">
        <v>910</v>
      </c>
      <c r="B381" s="188"/>
      <c r="C381" s="227"/>
      <c r="D381" s="188"/>
      <c r="E381" s="188"/>
      <c r="F381" s="188"/>
      <c r="G381" s="188"/>
      <c r="H381" s="188"/>
      <c r="I381" s="188"/>
      <c r="J381" s="188"/>
      <c r="K381" s="235">
        <f t="shared" si="6"/>
        <v>0</v>
      </c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</row>
    <row r="382" spans="1:25" s="230" customFormat="1" ht="15.6" x14ac:dyDescent="0.3">
      <c r="A382" s="202">
        <v>911</v>
      </c>
      <c r="B382" s="188"/>
      <c r="C382" s="227"/>
      <c r="D382" s="188"/>
      <c r="E382" s="188"/>
      <c r="F382" s="188"/>
      <c r="G382" s="188"/>
      <c r="H382" s="188"/>
      <c r="I382" s="188"/>
      <c r="J382" s="188"/>
      <c r="K382" s="235">
        <f t="shared" si="6"/>
        <v>0</v>
      </c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</row>
    <row r="383" spans="1:25" s="230" customFormat="1" ht="15.6" x14ac:dyDescent="0.3">
      <c r="A383" s="202">
        <v>912</v>
      </c>
      <c r="B383" s="188"/>
      <c r="C383" s="227"/>
      <c r="D383" s="188"/>
      <c r="E383" s="188"/>
      <c r="F383" s="188"/>
      <c r="G383" s="188"/>
      <c r="H383" s="188"/>
      <c r="I383" s="188"/>
      <c r="J383" s="188"/>
      <c r="K383" s="235">
        <f t="shared" si="6"/>
        <v>0</v>
      </c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</row>
    <row r="384" spans="1:25" s="230" customFormat="1" ht="15.6" x14ac:dyDescent="0.3">
      <c r="A384" s="202">
        <v>913</v>
      </c>
      <c r="B384" s="188"/>
      <c r="C384" s="227"/>
      <c r="D384" s="188"/>
      <c r="E384" s="188"/>
      <c r="F384" s="188"/>
      <c r="G384" s="188"/>
      <c r="H384" s="188"/>
      <c r="I384" s="188"/>
      <c r="J384" s="188"/>
      <c r="K384" s="235">
        <f t="shared" si="6"/>
        <v>0</v>
      </c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</row>
    <row r="385" spans="1:25" s="230" customFormat="1" ht="15.6" x14ac:dyDescent="0.3">
      <c r="A385" s="202">
        <v>914</v>
      </c>
      <c r="B385" s="188"/>
      <c r="C385" s="227"/>
      <c r="D385" s="188"/>
      <c r="E385" s="188"/>
      <c r="F385" s="188"/>
      <c r="G385" s="188"/>
      <c r="H385" s="188"/>
      <c r="I385" s="188"/>
      <c r="J385" s="188"/>
      <c r="K385" s="235">
        <f t="shared" si="6"/>
        <v>0</v>
      </c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</row>
    <row r="386" spans="1:25" s="230" customFormat="1" ht="15.6" x14ac:dyDescent="0.3">
      <c r="A386" s="202">
        <v>915</v>
      </c>
      <c r="B386" s="188"/>
      <c r="C386" s="227"/>
      <c r="D386" s="188"/>
      <c r="E386" s="188"/>
      <c r="F386" s="188"/>
      <c r="G386" s="188"/>
      <c r="H386" s="188"/>
      <c r="I386" s="188"/>
      <c r="J386" s="188"/>
      <c r="K386" s="235">
        <f t="shared" si="6"/>
        <v>0</v>
      </c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</row>
    <row r="387" spans="1:25" s="230" customFormat="1" ht="15.6" x14ac:dyDescent="0.3">
      <c r="A387" s="202">
        <v>916</v>
      </c>
      <c r="B387" s="188"/>
      <c r="C387" s="227"/>
      <c r="D387" s="188"/>
      <c r="E387" s="188"/>
      <c r="F387" s="188"/>
      <c r="G387" s="188"/>
      <c r="H387" s="188"/>
      <c r="I387" s="188"/>
      <c r="J387" s="188"/>
      <c r="K387" s="235">
        <f t="shared" si="6"/>
        <v>0</v>
      </c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</row>
    <row r="388" spans="1:25" s="230" customFormat="1" ht="15.6" x14ac:dyDescent="0.3">
      <c r="A388" s="202">
        <v>917</v>
      </c>
      <c r="B388" s="188"/>
      <c r="C388" s="227"/>
      <c r="D388" s="188"/>
      <c r="E388" s="188"/>
      <c r="F388" s="188"/>
      <c r="G388" s="188"/>
      <c r="H388" s="188"/>
      <c r="I388" s="188"/>
      <c r="J388" s="188"/>
      <c r="K388" s="235">
        <f t="shared" si="6"/>
        <v>0</v>
      </c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</row>
    <row r="389" spans="1:25" s="230" customFormat="1" ht="15.6" x14ac:dyDescent="0.3">
      <c r="A389" s="202">
        <v>918</v>
      </c>
      <c r="B389" s="188"/>
      <c r="C389" s="227"/>
      <c r="D389" s="188"/>
      <c r="E389" s="188"/>
      <c r="F389" s="188"/>
      <c r="G389" s="188"/>
      <c r="H389" s="188"/>
      <c r="I389" s="188"/>
      <c r="J389" s="188"/>
      <c r="K389" s="235">
        <f t="shared" ref="K389:K452" si="7">C389</f>
        <v>0</v>
      </c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</row>
    <row r="390" spans="1:25" s="230" customFormat="1" ht="15.6" x14ac:dyDescent="0.3">
      <c r="A390" s="202">
        <v>919</v>
      </c>
      <c r="B390" s="188"/>
      <c r="C390" s="227"/>
      <c r="D390" s="188"/>
      <c r="E390" s="188"/>
      <c r="F390" s="188"/>
      <c r="G390" s="188"/>
      <c r="H390" s="188"/>
      <c r="I390" s="188"/>
      <c r="J390" s="188"/>
      <c r="K390" s="235">
        <f t="shared" si="7"/>
        <v>0</v>
      </c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</row>
    <row r="391" spans="1:25" s="230" customFormat="1" ht="15.6" x14ac:dyDescent="0.3">
      <c r="A391" s="202">
        <v>920</v>
      </c>
      <c r="B391" s="188"/>
      <c r="C391" s="227"/>
      <c r="D391" s="188"/>
      <c r="E391" s="188"/>
      <c r="F391" s="188"/>
      <c r="G391" s="188"/>
      <c r="H391" s="188"/>
      <c r="I391" s="188"/>
      <c r="J391" s="188"/>
      <c r="K391" s="235">
        <f t="shared" si="7"/>
        <v>0</v>
      </c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</row>
    <row r="392" spans="1:25" s="230" customFormat="1" ht="15.6" x14ac:dyDescent="0.3">
      <c r="A392" s="202">
        <v>921</v>
      </c>
      <c r="B392" s="188"/>
      <c r="C392" s="227"/>
      <c r="D392" s="188"/>
      <c r="E392" s="188"/>
      <c r="F392" s="188"/>
      <c r="G392" s="188"/>
      <c r="H392" s="188"/>
      <c r="I392" s="188"/>
      <c r="J392" s="188"/>
      <c r="K392" s="235">
        <f t="shared" si="7"/>
        <v>0</v>
      </c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</row>
    <row r="393" spans="1:25" s="230" customFormat="1" ht="15.6" x14ac:dyDescent="0.3">
      <c r="A393" s="202">
        <v>922</v>
      </c>
      <c r="B393" s="188"/>
      <c r="C393" s="227"/>
      <c r="D393" s="188"/>
      <c r="E393" s="188"/>
      <c r="F393" s="188"/>
      <c r="G393" s="188"/>
      <c r="H393" s="188"/>
      <c r="I393" s="188"/>
      <c r="J393" s="188"/>
      <c r="K393" s="235">
        <f t="shared" si="7"/>
        <v>0</v>
      </c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</row>
    <row r="394" spans="1:25" s="230" customFormat="1" ht="15.6" x14ac:dyDescent="0.3">
      <c r="A394" s="202">
        <v>923</v>
      </c>
      <c r="B394" s="188"/>
      <c r="C394" s="227"/>
      <c r="D394" s="188"/>
      <c r="E394" s="188"/>
      <c r="F394" s="188"/>
      <c r="G394" s="188"/>
      <c r="H394" s="188"/>
      <c r="I394" s="188"/>
      <c r="J394" s="188"/>
      <c r="K394" s="235">
        <f t="shared" si="7"/>
        <v>0</v>
      </c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</row>
    <row r="395" spans="1:25" s="230" customFormat="1" ht="15.6" x14ac:dyDescent="0.3">
      <c r="A395" s="202">
        <v>924</v>
      </c>
      <c r="B395" s="188"/>
      <c r="C395" s="227"/>
      <c r="D395" s="188"/>
      <c r="E395" s="188"/>
      <c r="F395" s="188"/>
      <c r="G395" s="188"/>
      <c r="H395" s="188"/>
      <c r="I395" s="188"/>
      <c r="J395" s="188"/>
      <c r="K395" s="235">
        <f t="shared" si="7"/>
        <v>0</v>
      </c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</row>
    <row r="396" spans="1:25" s="230" customFormat="1" ht="15.6" x14ac:dyDescent="0.3">
      <c r="A396" s="202">
        <v>925</v>
      </c>
      <c r="B396" s="188"/>
      <c r="C396" s="227"/>
      <c r="D396" s="188"/>
      <c r="E396" s="188"/>
      <c r="F396" s="188"/>
      <c r="G396" s="188"/>
      <c r="H396" s="188"/>
      <c r="I396" s="188"/>
      <c r="J396" s="188"/>
      <c r="K396" s="235">
        <f t="shared" si="7"/>
        <v>0</v>
      </c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</row>
    <row r="397" spans="1:25" s="230" customFormat="1" ht="15.6" x14ac:dyDescent="0.3">
      <c r="A397" s="202">
        <v>926</v>
      </c>
      <c r="B397" s="188"/>
      <c r="C397" s="227"/>
      <c r="D397" s="188"/>
      <c r="E397" s="188"/>
      <c r="F397" s="188"/>
      <c r="G397" s="188"/>
      <c r="H397" s="188"/>
      <c r="I397" s="188"/>
      <c r="J397" s="188"/>
      <c r="K397" s="235">
        <f t="shared" si="7"/>
        <v>0</v>
      </c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</row>
    <row r="398" spans="1:25" s="230" customFormat="1" ht="15.6" x14ac:dyDescent="0.3">
      <c r="A398" s="202">
        <v>927</v>
      </c>
      <c r="B398" s="188"/>
      <c r="C398" s="227"/>
      <c r="D398" s="188"/>
      <c r="E398" s="188"/>
      <c r="F398" s="188"/>
      <c r="G398" s="188"/>
      <c r="H398" s="188"/>
      <c r="I398" s="188"/>
      <c r="J398" s="188"/>
      <c r="K398" s="235">
        <f t="shared" si="7"/>
        <v>0</v>
      </c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</row>
    <row r="399" spans="1:25" s="230" customFormat="1" ht="15.6" x14ac:dyDescent="0.3">
      <c r="A399" s="202">
        <v>928</v>
      </c>
      <c r="B399" s="188"/>
      <c r="C399" s="227"/>
      <c r="D399" s="188"/>
      <c r="E399" s="188"/>
      <c r="F399" s="188"/>
      <c r="G399" s="188"/>
      <c r="H399" s="188"/>
      <c r="I399" s="188"/>
      <c r="J399" s="188"/>
      <c r="K399" s="235">
        <f t="shared" si="7"/>
        <v>0</v>
      </c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</row>
    <row r="400" spans="1:25" s="230" customFormat="1" ht="15.6" x14ac:dyDescent="0.3">
      <c r="A400" s="202">
        <v>929</v>
      </c>
      <c r="B400" s="188"/>
      <c r="C400" s="227"/>
      <c r="D400" s="188"/>
      <c r="E400" s="188"/>
      <c r="F400" s="188"/>
      <c r="G400" s="188"/>
      <c r="H400" s="188"/>
      <c r="I400" s="188"/>
      <c r="J400" s="188"/>
      <c r="K400" s="235">
        <f t="shared" si="7"/>
        <v>0</v>
      </c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</row>
    <row r="401" spans="1:25" s="230" customFormat="1" ht="15.6" x14ac:dyDescent="0.3">
      <c r="A401" s="202">
        <v>930</v>
      </c>
      <c r="B401" s="188"/>
      <c r="C401" s="227"/>
      <c r="D401" s="188"/>
      <c r="E401" s="188"/>
      <c r="F401" s="188"/>
      <c r="G401" s="188"/>
      <c r="H401" s="188"/>
      <c r="I401" s="188"/>
      <c r="J401" s="188"/>
      <c r="K401" s="235">
        <f t="shared" si="7"/>
        <v>0</v>
      </c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</row>
    <row r="402" spans="1:25" s="230" customFormat="1" ht="15.6" x14ac:dyDescent="0.3">
      <c r="A402" s="202">
        <v>931</v>
      </c>
      <c r="B402" s="188"/>
      <c r="C402" s="227"/>
      <c r="D402" s="188"/>
      <c r="E402" s="188"/>
      <c r="F402" s="188"/>
      <c r="G402" s="188"/>
      <c r="H402" s="188"/>
      <c r="I402" s="188"/>
      <c r="J402" s="188"/>
      <c r="K402" s="235">
        <f t="shared" si="7"/>
        <v>0</v>
      </c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</row>
    <row r="403" spans="1:25" s="230" customFormat="1" ht="15.6" x14ac:dyDescent="0.3">
      <c r="A403" s="202">
        <v>932</v>
      </c>
      <c r="B403" s="188"/>
      <c r="C403" s="227"/>
      <c r="D403" s="188"/>
      <c r="E403" s="188"/>
      <c r="F403" s="188"/>
      <c r="G403" s="188"/>
      <c r="H403" s="188"/>
      <c r="I403" s="188"/>
      <c r="J403" s="188"/>
      <c r="K403" s="235">
        <f t="shared" si="7"/>
        <v>0</v>
      </c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</row>
    <row r="404" spans="1:25" s="230" customFormat="1" ht="15.6" x14ac:dyDescent="0.3">
      <c r="A404" s="202">
        <v>933</v>
      </c>
      <c r="B404" s="188"/>
      <c r="C404" s="227"/>
      <c r="D404" s="188"/>
      <c r="E404" s="188"/>
      <c r="F404" s="188"/>
      <c r="G404" s="188"/>
      <c r="H404" s="188"/>
      <c r="I404" s="188"/>
      <c r="J404" s="188"/>
      <c r="K404" s="235">
        <f t="shared" si="7"/>
        <v>0</v>
      </c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</row>
    <row r="405" spans="1:25" s="230" customFormat="1" ht="15.6" x14ac:dyDescent="0.3">
      <c r="A405" s="202">
        <v>934</v>
      </c>
      <c r="B405" s="188"/>
      <c r="C405" s="227"/>
      <c r="D405" s="188"/>
      <c r="E405" s="188"/>
      <c r="F405" s="188"/>
      <c r="G405" s="188"/>
      <c r="H405" s="188"/>
      <c r="I405" s="188"/>
      <c r="J405" s="188"/>
      <c r="K405" s="235">
        <f t="shared" si="7"/>
        <v>0</v>
      </c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</row>
    <row r="406" spans="1:25" s="230" customFormat="1" ht="15.6" x14ac:dyDescent="0.3">
      <c r="A406" s="202">
        <v>935</v>
      </c>
      <c r="B406" s="188"/>
      <c r="C406" s="227"/>
      <c r="D406" s="188"/>
      <c r="E406" s="188"/>
      <c r="F406" s="188"/>
      <c r="G406" s="188"/>
      <c r="H406" s="188"/>
      <c r="I406" s="188"/>
      <c r="J406" s="188"/>
      <c r="K406" s="235">
        <f t="shared" si="7"/>
        <v>0</v>
      </c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</row>
    <row r="407" spans="1:25" s="230" customFormat="1" ht="15.6" x14ac:dyDescent="0.3">
      <c r="A407" s="202">
        <v>936</v>
      </c>
      <c r="B407" s="188"/>
      <c r="C407" s="227"/>
      <c r="D407" s="188"/>
      <c r="E407" s="188"/>
      <c r="F407" s="188"/>
      <c r="G407" s="188"/>
      <c r="H407" s="188"/>
      <c r="I407" s="188"/>
      <c r="J407" s="188"/>
      <c r="K407" s="235">
        <f t="shared" si="7"/>
        <v>0</v>
      </c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</row>
    <row r="408" spans="1:25" s="230" customFormat="1" ht="15.6" x14ac:dyDescent="0.3">
      <c r="A408" s="202">
        <v>937</v>
      </c>
      <c r="B408" s="188"/>
      <c r="C408" s="227"/>
      <c r="D408" s="188"/>
      <c r="E408" s="188"/>
      <c r="F408" s="188"/>
      <c r="G408" s="188"/>
      <c r="H408" s="188"/>
      <c r="I408" s="188"/>
      <c r="J408" s="188"/>
      <c r="K408" s="235">
        <f t="shared" si="7"/>
        <v>0</v>
      </c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</row>
    <row r="409" spans="1:25" s="230" customFormat="1" ht="15.6" x14ac:dyDescent="0.3">
      <c r="A409" s="202">
        <v>938</v>
      </c>
      <c r="B409" s="188"/>
      <c r="C409" s="227"/>
      <c r="D409" s="188"/>
      <c r="E409" s="188"/>
      <c r="F409" s="188"/>
      <c r="G409" s="188"/>
      <c r="H409" s="188"/>
      <c r="I409" s="188"/>
      <c r="J409" s="188"/>
      <c r="K409" s="235">
        <f t="shared" si="7"/>
        <v>0</v>
      </c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</row>
    <row r="410" spans="1:25" s="230" customFormat="1" ht="15.6" x14ac:dyDescent="0.3">
      <c r="A410" s="202">
        <v>939</v>
      </c>
      <c r="B410" s="188"/>
      <c r="C410" s="227"/>
      <c r="D410" s="188"/>
      <c r="E410" s="188"/>
      <c r="F410" s="188"/>
      <c r="G410" s="188"/>
      <c r="H410" s="188"/>
      <c r="I410" s="188"/>
      <c r="J410" s="188"/>
      <c r="K410" s="235">
        <f t="shared" si="7"/>
        <v>0</v>
      </c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</row>
    <row r="411" spans="1:25" s="230" customFormat="1" ht="15.6" x14ac:dyDescent="0.3">
      <c r="A411" s="202">
        <v>940</v>
      </c>
      <c r="B411" s="188"/>
      <c r="C411" s="227"/>
      <c r="D411" s="188"/>
      <c r="E411" s="188"/>
      <c r="F411" s="188"/>
      <c r="G411" s="188"/>
      <c r="H411" s="188"/>
      <c r="I411" s="188"/>
      <c r="J411" s="188"/>
      <c r="K411" s="235">
        <f t="shared" si="7"/>
        <v>0</v>
      </c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</row>
    <row r="412" spans="1:25" s="230" customFormat="1" ht="15.6" x14ac:dyDescent="0.3">
      <c r="A412" s="202">
        <v>941</v>
      </c>
      <c r="B412" s="188"/>
      <c r="C412" s="227"/>
      <c r="D412" s="188"/>
      <c r="E412" s="188"/>
      <c r="F412" s="188"/>
      <c r="G412" s="188"/>
      <c r="H412" s="188"/>
      <c r="I412" s="188"/>
      <c r="J412" s="188"/>
      <c r="K412" s="235">
        <f t="shared" si="7"/>
        <v>0</v>
      </c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</row>
    <row r="413" spans="1:25" s="230" customFormat="1" ht="15.6" x14ac:dyDescent="0.3">
      <c r="A413" s="202">
        <v>942</v>
      </c>
      <c r="B413" s="188"/>
      <c r="C413" s="227"/>
      <c r="D413" s="188"/>
      <c r="E413" s="188"/>
      <c r="F413" s="188"/>
      <c r="G413" s="188"/>
      <c r="H413" s="188"/>
      <c r="I413" s="188"/>
      <c r="J413" s="188"/>
      <c r="K413" s="235">
        <f t="shared" si="7"/>
        <v>0</v>
      </c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</row>
    <row r="414" spans="1:25" s="230" customFormat="1" ht="15.6" x14ac:dyDescent="0.3">
      <c r="A414" s="202">
        <v>943</v>
      </c>
      <c r="B414" s="188"/>
      <c r="C414" s="227"/>
      <c r="D414" s="188"/>
      <c r="E414" s="188"/>
      <c r="F414" s="188"/>
      <c r="G414" s="188"/>
      <c r="H414" s="188"/>
      <c r="I414" s="188"/>
      <c r="J414" s="188"/>
      <c r="K414" s="235">
        <f t="shared" si="7"/>
        <v>0</v>
      </c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</row>
    <row r="415" spans="1:25" s="230" customFormat="1" ht="15.6" x14ac:dyDescent="0.3">
      <c r="A415" s="202">
        <v>944</v>
      </c>
      <c r="B415" s="188"/>
      <c r="C415" s="227"/>
      <c r="D415" s="188"/>
      <c r="E415" s="188"/>
      <c r="F415" s="188"/>
      <c r="G415" s="188"/>
      <c r="H415" s="188"/>
      <c r="I415" s="188"/>
      <c r="J415" s="188"/>
      <c r="K415" s="235">
        <f t="shared" si="7"/>
        <v>0</v>
      </c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</row>
    <row r="416" spans="1:25" s="230" customFormat="1" ht="15.6" x14ac:dyDescent="0.3">
      <c r="A416" s="202">
        <v>945</v>
      </c>
      <c r="B416" s="188"/>
      <c r="C416" s="227"/>
      <c r="D416" s="188"/>
      <c r="E416" s="188"/>
      <c r="F416" s="188"/>
      <c r="G416" s="188"/>
      <c r="H416" s="188"/>
      <c r="I416" s="188"/>
      <c r="J416" s="188"/>
      <c r="K416" s="235">
        <f t="shared" si="7"/>
        <v>0</v>
      </c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</row>
    <row r="417" spans="1:25" s="230" customFormat="1" ht="15.6" x14ac:dyDescent="0.3">
      <c r="A417" s="202">
        <v>946</v>
      </c>
      <c r="B417" s="188"/>
      <c r="C417" s="227"/>
      <c r="D417" s="188"/>
      <c r="E417" s="188"/>
      <c r="F417" s="188"/>
      <c r="G417" s="188"/>
      <c r="H417" s="188"/>
      <c r="I417" s="188"/>
      <c r="J417" s="188"/>
      <c r="K417" s="235">
        <f t="shared" si="7"/>
        <v>0</v>
      </c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</row>
    <row r="418" spans="1:25" s="230" customFormat="1" ht="15.6" x14ac:dyDescent="0.3">
      <c r="A418" s="202">
        <v>947</v>
      </c>
      <c r="B418" s="188"/>
      <c r="C418" s="227"/>
      <c r="D418" s="188"/>
      <c r="E418" s="188"/>
      <c r="F418" s="188"/>
      <c r="G418" s="188"/>
      <c r="H418" s="188"/>
      <c r="I418" s="188"/>
      <c r="J418" s="188"/>
      <c r="K418" s="235">
        <f t="shared" si="7"/>
        <v>0</v>
      </c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</row>
    <row r="419" spans="1:25" s="230" customFormat="1" ht="15.6" x14ac:dyDescent="0.3">
      <c r="A419" s="202">
        <v>948</v>
      </c>
      <c r="B419" s="188"/>
      <c r="C419" s="227"/>
      <c r="D419" s="188"/>
      <c r="E419" s="188"/>
      <c r="F419" s="188"/>
      <c r="G419" s="188"/>
      <c r="H419" s="188"/>
      <c r="I419" s="188"/>
      <c r="J419" s="188"/>
      <c r="K419" s="235">
        <f t="shared" si="7"/>
        <v>0</v>
      </c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</row>
    <row r="420" spans="1:25" s="230" customFormat="1" ht="15.6" x14ac:dyDescent="0.3">
      <c r="A420" s="202">
        <v>949</v>
      </c>
      <c r="B420" s="188"/>
      <c r="C420" s="227"/>
      <c r="D420" s="188"/>
      <c r="E420" s="188"/>
      <c r="F420" s="188"/>
      <c r="G420" s="188"/>
      <c r="H420" s="188"/>
      <c r="I420" s="188"/>
      <c r="J420" s="188"/>
      <c r="K420" s="235">
        <f t="shared" si="7"/>
        <v>0</v>
      </c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</row>
    <row r="421" spans="1:25" s="230" customFormat="1" ht="15.6" x14ac:dyDescent="0.3">
      <c r="A421" s="202">
        <v>950</v>
      </c>
      <c r="B421" s="188"/>
      <c r="C421" s="227"/>
      <c r="D421" s="188"/>
      <c r="E421" s="188"/>
      <c r="F421" s="188"/>
      <c r="G421" s="188"/>
      <c r="H421" s="188"/>
      <c r="I421" s="188"/>
      <c r="J421" s="188"/>
      <c r="K421" s="235">
        <f t="shared" si="7"/>
        <v>0</v>
      </c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</row>
    <row r="422" spans="1:25" s="230" customFormat="1" ht="15.6" x14ac:dyDescent="0.3">
      <c r="A422" s="202">
        <v>951</v>
      </c>
      <c r="B422" s="188"/>
      <c r="C422" s="227"/>
      <c r="D422" s="188"/>
      <c r="E422" s="188"/>
      <c r="F422" s="188"/>
      <c r="G422" s="188"/>
      <c r="H422" s="188"/>
      <c r="I422" s="188"/>
      <c r="J422" s="188"/>
      <c r="K422" s="235">
        <f t="shared" si="7"/>
        <v>0</v>
      </c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</row>
    <row r="423" spans="1:25" s="230" customFormat="1" ht="15.6" x14ac:dyDescent="0.3">
      <c r="A423" s="202">
        <v>952</v>
      </c>
      <c r="B423" s="188"/>
      <c r="C423" s="227"/>
      <c r="D423" s="188"/>
      <c r="E423" s="188"/>
      <c r="F423" s="188"/>
      <c r="G423" s="188"/>
      <c r="H423" s="188"/>
      <c r="I423" s="188"/>
      <c r="J423" s="188"/>
      <c r="K423" s="235">
        <f t="shared" si="7"/>
        <v>0</v>
      </c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</row>
    <row r="424" spans="1:25" s="230" customFormat="1" ht="15.6" x14ac:dyDescent="0.3">
      <c r="A424" s="202">
        <v>953</v>
      </c>
      <c r="B424" s="188"/>
      <c r="C424" s="227"/>
      <c r="D424" s="188"/>
      <c r="E424" s="188"/>
      <c r="F424" s="188"/>
      <c r="G424" s="188"/>
      <c r="H424" s="188"/>
      <c r="I424" s="188"/>
      <c r="J424" s="188"/>
      <c r="K424" s="235">
        <f t="shared" si="7"/>
        <v>0</v>
      </c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</row>
    <row r="425" spans="1:25" s="230" customFormat="1" ht="15.6" x14ac:dyDescent="0.3">
      <c r="A425" s="202">
        <v>954</v>
      </c>
      <c r="B425" s="188"/>
      <c r="C425" s="227"/>
      <c r="D425" s="188"/>
      <c r="E425" s="188"/>
      <c r="F425" s="188"/>
      <c r="G425" s="188"/>
      <c r="H425" s="188"/>
      <c r="I425" s="188"/>
      <c r="J425" s="188"/>
      <c r="K425" s="235">
        <f t="shared" si="7"/>
        <v>0</v>
      </c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</row>
    <row r="426" spans="1:25" s="230" customFormat="1" ht="15.6" x14ac:dyDescent="0.3">
      <c r="A426" s="202">
        <v>955</v>
      </c>
      <c r="B426" s="188"/>
      <c r="C426" s="227"/>
      <c r="D426" s="188"/>
      <c r="E426" s="188"/>
      <c r="F426" s="188"/>
      <c r="G426" s="188"/>
      <c r="H426" s="188"/>
      <c r="I426" s="188"/>
      <c r="J426" s="188"/>
      <c r="K426" s="235">
        <f t="shared" si="7"/>
        <v>0</v>
      </c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</row>
    <row r="427" spans="1:25" s="230" customFormat="1" ht="15.6" x14ac:dyDescent="0.3">
      <c r="A427" s="202">
        <v>956</v>
      </c>
      <c r="B427" s="188"/>
      <c r="C427" s="227"/>
      <c r="D427" s="188"/>
      <c r="E427" s="188"/>
      <c r="F427" s="188"/>
      <c r="G427" s="188"/>
      <c r="H427" s="188"/>
      <c r="I427" s="188"/>
      <c r="J427" s="188"/>
      <c r="K427" s="235">
        <f t="shared" si="7"/>
        <v>0</v>
      </c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</row>
    <row r="428" spans="1:25" s="230" customFormat="1" ht="15.6" x14ac:dyDescent="0.3">
      <c r="A428" s="202">
        <v>957</v>
      </c>
      <c r="B428" s="188"/>
      <c r="C428" s="227"/>
      <c r="D428" s="188"/>
      <c r="E428" s="188"/>
      <c r="F428" s="188"/>
      <c r="G428" s="188"/>
      <c r="H428" s="188"/>
      <c r="I428" s="188"/>
      <c r="J428" s="188"/>
      <c r="K428" s="235">
        <f t="shared" si="7"/>
        <v>0</v>
      </c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</row>
    <row r="429" spans="1:25" s="230" customFormat="1" ht="15.6" x14ac:dyDescent="0.3">
      <c r="A429" s="202">
        <v>958</v>
      </c>
      <c r="B429" s="188"/>
      <c r="C429" s="227"/>
      <c r="D429" s="188"/>
      <c r="E429" s="188"/>
      <c r="F429" s="188"/>
      <c r="G429" s="188"/>
      <c r="H429" s="188"/>
      <c r="I429" s="188"/>
      <c r="J429" s="188"/>
      <c r="K429" s="235">
        <f t="shared" si="7"/>
        <v>0</v>
      </c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</row>
    <row r="430" spans="1:25" s="230" customFormat="1" ht="15.6" x14ac:dyDescent="0.3">
      <c r="A430" s="202">
        <v>959</v>
      </c>
      <c r="B430" s="188"/>
      <c r="C430" s="227"/>
      <c r="D430" s="188"/>
      <c r="E430" s="188"/>
      <c r="F430" s="188"/>
      <c r="G430" s="188"/>
      <c r="H430" s="188"/>
      <c r="I430" s="188"/>
      <c r="J430" s="188"/>
      <c r="K430" s="235">
        <f t="shared" si="7"/>
        <v>0</v>
      </c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</row>
    <row r="431" spans="1:25" s="230" customFormat="1" ht="15.6" x14ac:dyDescent="0.3">
      <c r="A431" s="202">
        <v>960</v>
      </c>
      <c r="B431" s="188"/>
      <c r="C431" s="227"/>
      <c r="D431" s="188"/>
      <c r="E431" s="188"/>
      <c r="F431" s="188"/>
      <c r="G431" s="188"/>
      <c r="H431" s="188"/>
      <c r="I431" s="188"/>
      <c r="J431" s="188"/>
      <c r="K431" s="235">
        <f t="shared" si="7"/>
        <v>0</v>
      </c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</row>
    <row r="432" spans="1:25" s="230" customFormat="1" ht="15.6" x14ac:dyDescent="0.3">
      <c r="A432" s="202">
        <v>961</v>
      </c>
      <c r="B432" s="188"/>
      <c r="C432" s="227"/>
      <c r="D432" s="188"/>
      <c r="E432" s="188"/>
      <c r="F432" s="188"/>
      <c r="G432" s="188"/>
      <c r="H432" s="188"/>
      <c r="I432" s="188"/>
      <c r="J432" s="188"/>
      <c r="K432" s="235">
        <f t="shared" si="7"/>
        <v>0</v>
      </c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</row>
    <row r="433" spans="1:25" s="230" customFormat="1" ht="15.6" x14ac:dyDescent="0.3">
      <c r="A433" s="202">
        <v>962</v>
      </c>
      <c r="B433" s="188"/>
      <c r="C433" s="227"/>
      <c r="D433" s="188"/>
      <c r="E433" s="188"/>
      <c r="F433" s="188"/>
      <c r="G433" s="188"/>
      <c r="H433" s="188"/>
      <c r="I433" s="188"/>
      <c r="J433" s="188"/>
      <c r="K433" s="235">
        <f t="shared" si="7"/>
        <v>0</v>
      </c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</row>
    <row r="434" spans="1:25" s="230" customFormat="1" ht="15.6" x14ac:dyDescent="0.3">
      <c r="A434" s="202">
        <v>963</v>
      </c>
      <c r="B434" s="188"/>
      <c r="C434" s="227"/>
      <c r="D434" s="188"/>
      <c r="E434" s="188"/>
      <c r="F434" s="188"/>
      <c r="G434" s="188"/>
      <c r="H434" s="188"/>
      <c r="I434" s="188"/>
      <c r="J434" s="188"/>
      <c r="K434" s="235">
        <f t="shared" si="7"/>
        <v>0</v>
      </c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</row>
    <row r="435" spans="1:25" s="230" customFormat="1" ht="15.6" x14ac:dyDescent="0.3">
      <c r="A435" s="202">
        <v>964</v>
      </c>
      <c r="B435" s="188"/>
      <c r="C435" s="227"/>
      <c r="D435" s="188"/>
      <c r="E435" s="188"/>
      <c r="F435" s="188"/>
      <c r="G435" s="188"/>
      <c r="H435" s="188"/>
      <c r="I435" s="188"/>
      <c r="J435" s="188"/>
      <c r="K435" s="235">
        <f t="shared" si="7"/>
        <v>0</v>
      </c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</row>
    <row r="436" spans="1:25" s="230" customFormat="1" ht="15.6" x14ac:dyDescent="0.3">
      <c r="A436" s="202">
        <v>965</v>
      </c>
      <c r="B436" s="188"/>
      <c r="C436" s="227"/>
      <c r="D436" s="188"/>
      <c r="E436" s="188"/>
      <c r="F436" s="188"/>
      <c r="G436" s="188"/>
      <c r="H436" s="188"/>
      <c r="I436" s="188"/>
      <c r="J436" s="188"/>
      <c r="K436" s="235">
        <f t="shared" si="7"/>
        <v>0</v>
      </c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</row>
    <row r="437" spans="1:25" s="230" customFormat="1" ht="15.6" x14ac:dyDescent="0.3">
      <c r="A437" s="202">
        <v>966</v>
      </c>
      <c r="B437" s="188"/>
      <c r="C437" s="227"/>
      <c r="D437" s="188"/>
      <c r="E437" s="188"/>
      <c r="F437" s="188"/>
      <c r="G437" s="188"/>
      <c r="H437" s="188"/>
      <c r="I437" s="188"/>
      <c r="J437" s="188"/>
      <c r="K437" s="235">
        <f t="shared" si="7"/>
        <v>0</v>
      </c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</row>
    <row r="438" spans="1:25" s="230" customFormat="1" ht="15.6" x14ac:dyDescent="0.3">
      <c r="A438" s="202">
        <v>967</v>
      </c>
      <c r="B438" s="188"/>
      <c r="C438" s="227"/>
      <c r="D438" s="188"/>
      <c r="E438" s="188"/>
      <c r="F438" s="188"/>
      <c r="G438" s="188"/>
      <c r="H438" s="188"/>
      <c r="I438" s="188"/>
      <c r="J438" s="188"/>
      <c r="K438" s="235">
        <f t="shared" si="7"/>
        <v>0</v>
      </c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</row>
    <row r="439" spans="1:25" s="230" customFormat="1" ht="15.6" x14ac:dyDescent="0.3">
      <c r="A439" s="202">
        <v>968</v>
      </c>
      <c r="B439" s="188"/>
      <c r="C439" s="227"/>
      <c r="D439" s="188"/>
      <c r="E439" s="188"/>
      <c r="F439" s="188"/>
      <c r="G439" s="188"/>
      <c r="H439" s="188"/>
      <c r="I439" s="188"/>
      <c r="J439" s="188"/>
      <c r="K439" s="235">
        <f t="shared" si="7"/>
        <v>0</v>
      </c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</row>
    <row r="440" spans="1:25" s="230" customFormat="1" ht="15.6" x14ac:dyDescent="0.3">
      <c r="A440" s="202">
        <v>969</v>
      </c>
      <c r="B440" s="188"/>
      <c r="C440" s="227"/>
      <c r="D440" s="188"/>
      <c r="E440" s="188"/>
      <c r="F440" s="188"/>
      <c r="G440" s="188"/>
      <c r="H440" s="188"/>
      <c r="I440" s="188"/>
      <c r="J440" s="188"/>
      <c r="K440" s="235">
        <f t="shared" si="7"/>
        <v>0</v>
      </c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</row>
    <row r="441" spans="1:25" s="230" customFormat="1" ht="15.6" x14ac:dyDescent="0.3">
      <c r="A441" s="202">
        <v>970</v>
      </c>
      <c r="B441" s="188"/>
      <c r="C441" s="227"/>
      <c r="D441" s="188"/>
      <c r="E441" s="188"/>
      <c r="F441" s="188"/>
      <c r="G441" s="188"/>
      <c r="H441" s="188"/>
      <c r="I441" s="188"/>
      <c r="J441" s="188"/>
      <c r="K441" s="235">
        <f t="shared" si="7"/>
        <v>0</v>
      </c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</row>
    <row r="442" spans="1:25" s="230" customFormat="1" ht="15.6" x14ac:dyDescent="0.3">
      <c r="A442" s="202">
        <v>971</v>
      </c>
      <c r="B442" s="188"/>
      <c r="C442" s="227"/>
      <c r="D442" s="188"/>
      <c r="E442" s="188"/>
      <c r="F442" s="188"/>
      <c r="G442" s="188"/>
      <c r="H442" s="188"/>
      <c r="I442" s="188"/>
      <c r="J442" s="188"/>
      <c r="K442" s="235">
        <f t="shared" si="7"/>
        <v>0</v>
      </c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</row>
    <row r="443" spans="1:25" s="230" customFormat="1" ht="15.6" x14ac:dyDescent="0.3">
      <c r="A443" s="202">
        <v>972</v>
      </c>
      <c r="B443" s="188"/>
      <c r="C443" s="227"/>
      <c r="D443" s="188"/>
      <c r="E443" s="188"/>
      <c r="F443" s="188"/>
      <c r="G443" s="188"/>
      <c r="H443" s="188"/>
      <c r="I443" s="188"/>
      <c r="J443" s="188"/>
      <c r="K443" s="235">
        <f t="shared" si="7"/>
        <v>0</v>
      </c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</row>
    <row r="444" spans="1:25" s="230" customFormat="1" ht="15.6" x14ac:dyDescent="0.3">
      <c r="A444" s="202">
        <v>973</v>
      </c>
      <c r="B444" s="188"/>
      <c r="C444" s="227"/>
      <c r="D444" s="188"/>
      <c r="E444" s="188"/>
      <c r="F444" s="188"/>
      <c r="G444" s="188"/>
      <c r="H444" s="188"/>
      <c r="I444" s="188"/>
      <c r="J444" s="188"/>
      <c r="K444" s="235">
        <f t="shared" si="7"/>
        <v>0</v>
      </c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</row>
    <row r="445" spans="1:25" s="230" customFormat="1" ht="15.6" x14ac:dyDescent="0.3">
      <c r="A445" s="202">
        <v>974</v>
      </c>
      <c r="B445" s="188"/>
      <c r="C445" s="227"/>
      <c r="D445" s="188"/>
      <c r="E445" s="188"/>
      <c r="F445" s="188"/>
      <c r="G445" s="188"/>
      <c r="H445" s="188"/>
      <c r="I445" s="188"/>
      <c r="J445" s="188"/>
      <c r="K445" s="235">
        <f t="shared" si="7"/>
        <v>0</v>
      </c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</row>
    <row r="446" spans="1:25" s="230" customFormat="1" ht="15.6" x14ac:dyDescent="0.3">
      <c r="A446" s="202">
        <v>975</v>
      </c>
      <c r="B446" s="188"/>
      <c r="C446" s="227"/>
      <c r="D446" s="188"/>
      <c r="E446" s="188"/>
      <c r="F446" s="188"/>
      <c r="G446" s="188"/>
      <c r="H446" s="188"/>
      <c r="I446" s="188"/>
      <c r="J446" s="188"/>
      <c r="K446" s="235">
        <f t="shared" si="7"/>
        <v>0</v>
      </c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</row>
    <row r="447" spans="1:25" s="230" customFormat="1" ht="15.6" x14ac:dyDescent="0.3">
      <c r="A447" s="202">
        <v>976</v>
      </c>
      <c r="B447" s="188"/>
      <c r="C447" s="227"/>
      <c r="D447" s="188"/>
      <c r="E447" s="188"/>
      <c r="F447" s="188"/>
      <c r="G447" s="188"/>
      <c r="H447" s="188"/>
      <c r="I447" s="188"/>
      <c r="J447" s="188"/>
      <c r="K447" s="235">
        <f t="shared" si="7"/>
        <v>0</v>
      </c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</row>
    <row r="448" spans="1:25" s="230" customFormat="1" ht="15.6" x14ac:dyDescent="0.3">
      <c r="A448" s="202">
        <v>977</v>
      </c>
      <c r="B448" s="188"/>
      <c r="C448" s="227"/>
      <c r="D448" s="188"/>
      <c r="E448" s="188"/>
      <c r="F448" s="188"/>
      <c r="G448" s="188"/>
      <c r="H448" s="188"/>
      <c r="I448" s="188"/>
      <c r="J448" s="188"/>
      <c r="K448" s="235">
        <f t="shared" si="7"/>
        <v>0</v>
      </c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</row>
    <row r="449" spans="1:25" s="230" customFormat="1" ht="15.6" x14ac:dyDescent="0.3">
      <c r="A449" s="202">
        <v>978</v>
      </c>
      <c r="B449" s="188"/>
      <c r="C449" s="227"/>
      <c r="D449" s="188"/>
      <c r="E449" s="188"/>
      <c r="F449" s="188"/>
      <c r="G449" s="188"/>
      <c r="H449" s="188"/>
      <c r="I449" s="188"/>
      <c r="J449" s="188"/>
      <c r="K449" s="235">
        <f t="shared" si="7"/>
        <v>0</v>
      </c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</row>
    <row r="450" spans="1:25" s="230" customFormat="1" ht="15.6" x14ac:dyDescent="0.3">
      <c r="A450" s="202">
        <v>979</v>
      </c>
      <c r="B450" s="188"/>
      <c r="C450" s="227"/>
      <c r="D450" s="188"/>
      <c r="E450" s="188"/>
      <c r="F450" s="188"/>
      <c r="G450" s="188"/>
      <c r="H450" s="188"/>
      <c r="I450" s="188"/>
      <c r="J450" s="188"/>
      <c r="K450" s="235">
        <f t="shared" si="7"/>
        <v>0</v>
      </c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</row>
    <row r="451" spans="1:25" s="230" customFormat="1" ht="15.6" x14ac:dyDescent="0.3">
      <c r="A451" s="202">
        <v>980</v>
      </c>
      <c r="B451" s="188"/>
      <c r="C451" s="227"/>
      <c r="D451" s="188"/>
      <c r="E451" s="188"/>
      <c r="F451" s="188"/>
      <c r="G451" s="188"/>
      <c r="H451" s="188"/>
      <c r="I451" s="188"/>
      <c r="J451" s="188"/>
      <c r="K451" s="235">
        <f t="shared" si="7"/>
        <v>0</v>
      </c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</row>
    <row r="452" spans="1:25" s="230" customFormat="1" ht="15.6" x14ac:dyDescent="0.3">
      <c r="A452" s="202">
        <v>981</v>
      </c>
      <c r="B452" s="188"/>
      <c r="C452" s="227"/>
      <c r="D452" s="188"/>
      <c r="E452" s="188"/>
      <c r="F452" s="188"/>
      <c r="G452" s="188"/>
      <c r="H452" s="188"/>
      <c r="I452" s="188"/>
      <c r="J452" s="188"/>
      <c r="K452" s="235">
        <f t="shared" si="7"/>
        <v>0</v>
      </c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</row>
    <row r="453" spans="1:25" s="230" customFormat="1" ht="15.6" x14ac:dyDescent="0.3">
      <c r="A453" s="202">
        <v>982</v>
      </c>
      <c r="B453" s="188"/>
      <c r="C453" s="227"/>
      <c r="D453" s="188"/>
      <c r="E453" s="188"/>
      <c r="F453" s="188"/>
      <c r="G453" s="188"/>
      <c r="H453" s="188"/>
      <c r="I453" s="188"/>
      <c r="J453" s="188"/>
      <c r="K453" s="235">
        <f t="shared" ref="K453:K471" si="8">C453</f>
        <v>0</v>
      </c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</row>
    <row r="454" spans="1:25" s="230" customFormat="1" ht="15.6" x14ac:dyDescent="0.3">
      <c r="A454" s="202">
        <v>983</v>
      </c>
      <c r="B454" s="188"/>
      <c r="C454" s="227"/>
      <c r="D454" s="188"/>
      <c r="E454" s="188"/>
      <c r="F454" s="188"/>
      <c r="G454" s="188"/>
      <c r="H454" s="188"/>
      <c r="I454" s="188"/>
      <c r="J454" s="188"/>
      <c r="K454" s="235">
        <f t="shared" si="8"/>
        <v>0</v>
      </c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</row>
    <row r="455" spans="1:25" s="230" customFormat="1" ht="15.6" x14ac:dyDescent="0.3">
      <c r="A455" s="202">
        <v>984</v>
      </c>
      <c r="B455" s="188"/>
      <c r="C455" s="227"/>
      <c r="D455" s="188"/>
      <c r="E455" s="188"/>
      <c r="F455" s="188"/>
      <c r="G455" s="188"/>
      <c r="H455" s="188"/>
      <c r="I455" s="188"/>
      <c r="J455" s="188"/>
      <c r="K455" s="235">
        <f t="shared" si="8"/>
        <v>0</v>
      </c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</row>
    <row r="456" spans="1:25" s="230" customFormat="1" ht="15.6" x14ac:dyDescent="0.3">
      <c r="A456" s="202">
        <v>985</v>
      </c>
      <c r="B456" s="188"/>
      <c r="C456" s="227"/>
      <c r="D456" s="188"/>
      <c r="E456" s="188"/>
      <c r="F456" s="188"/>
      <c r="G456" s="188"/>
      <c r="H456" s="188"/>
      <c r="I456" s="188"/>
      <c r="J456" s="188"/>
      <c r="K456" s="235">
        <f t="shared" si="8"/>
        <v>0</v>
      </c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</row>
    <row r="457" spans="1:25" s="230" customFormat="1" ht="15.6" x14ac:dyDescent="0.3">
      <c r="A457" s="202">
        <v>986</v>
      </c>
      <c r="B457" s="188"/>
      <c r="C457" s="227"/>
      <c r="D457" s="188"/>
      <c r="E457" s="188"/>
      <c r="F457" s="188"/>
      <c r="G457" s="188"/>
      <c r="H457" s="188"/>
      <c r="I457" s="188"/>
      <c r="J457" s="188"/>
      <c r="K457" s="235">
        <f t="shared" si="8"/>
        <v>0</v>
      </c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</row>
    <row r="458" spans="1:25" s="230" customFormat="1" ht="15.6" x14ac:dyDescent="0.3">
      <c r="A458" s="202">
        <v>987</v>
      </c>
      <c r="B458" s="188"/>
      <c r="C458" s="227"/>
      <c r="D458" s="188"/>
      <c r="E458" s="188"/>
      <c r="F458" s="188"/>
      <c r="G458" s="188"/>
      <c r="H458" s="188"/>
      <c r="I458" s="188"/>
      <c r="J458" s="188"/>
      <c r="K458" s="235">
        <f t="shared" si="8"/>
        <v>0</v>
      </c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</row>
    <row r="459" spans="1:25" s="230" customFormat="1" ht="15.6" x14ac:dyDescent="0.3">
      <c r="A459" s="202">
        <v>988</v>
      </c>
      <c r="B459" s="188"/>
      <c r="C459" s="227"/>
      <c r="D459" s="188"/>
      <c r="E459" s="188"/>
      <c r="F459" s="188"/>
      <c r="G459" s="188"/>
      <c r="H459" s="188"/>
      <c r="I459" s="188"/>
      <c r="J459" s="188"/>
      <c r="K459" s="235">
        <f t="shared" si="8"/>
        <v>0</v>
      </c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</row>
    <row r="460" spans="1:25" s="230" customFormat="1" ht="15.6" x14ac:dyDescent="0.3">
      <c r="A460" s="202">
        <v>989</v>
      </c>
      <c r="B460" s="188"/>
      <c r="C460" s="227"/>
      <c r="D460" s="188"/>
      <c r="E460" s="188"/>
      <c r="F460" s="188"/>
      <c r="G460" s="188"/>
      <c r="H460" s="188"/>
      <c r="I460" s="188"/>
      <c r="J460" s="188"/>
      <c r="K460" s="235">
        <f t="shared" si="8"/>
        <v>0</v>
      </c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</row>
    <row r="461" spans="1:25" s="230" customFormat="1" ht="15.6" x14ac:dyDescent="0.3">
      <c r="A461" s="202">
        <v>990</v>
      </c>
      <c r="B461" s="188"/>
      <c r="C461" s="227"/>
      <c r="D461" s="188"/>
      <c r="E461" s="188"/>
      <c r="F461" s="188"/>
      <c r="G461" s="188"/>
      <c r="H461" s="188"/>
      <c r="I461" s="188"/>
      <c r="J461" s="188"/>
      <c r="K461" s="235">
        <f t="shared" si="8"/>
        <v>0</v>
      </c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</row>
    <row r="462" spans="1:25" s="230" customFormat="1" ht="15.6" x14ac:dyDescent="0.3">
      <c r="A462" s="202">
        <v>991</v>
      </c>
      <c r="B462" s="188"/>
      <c r="C462" s="227"/>
      <c r="D462" s="188"/>
      <c r="E462" s="188"/>
      <c r="F462" s="188"/>
      <c r="G462" s="188"/>
      <c r="H462" s="188"/>
      <c r="I462" s="188"/>
      <c r="J462" s="188"/>
      <c r="K462" s="235">
        <f t="shared" si="8"/>
        <v>0</v>
      </c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</row>
    <row r="463" spans="1:25" s="230" customFormat="1" ht="15.6" x14ac:dyDescent="0.3">
      <c r="A463" s="202">
        <v>992</v>
      </c>
      <c r="B463" s="188"/>
      <c r="C463" s="227"/>
      <c r="D463" s="188"/>
      <c r="E463" s="188"/>
      <c r="F463" s="188"/>
      <c r="G463" s="188"/>
      <c r="H463" s="188"/>
      <c r="I463" s="188"/>
      <c r="J463" s="188"/>
      <c r="K463" s="235">
        <f t="shared" si="8"/>
        <v>0</v>
      </c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</row>
    <row r="464" spans="1:25" s="230" customFormat="1" ht="15.6" x14ac:dyDescent="0.3">
      <c r="A464" s="202">
        <v>993</v>
      </c>
      <c r="B464" s="188"/>
      <c r="C464" s="227"/>
      <c r="D464" s="188"/>
      <c r="E464" s="188"/>
      <c r="F464" s="188"/>
      <c r="G464" s="188"/>
      <c r="H464" s="188"/>
      <c r="I464" s="188"/>
      <c r="J464" s="188"/>
      <c r="K464" s="235">
        <f t="shared" si="8"/>
        <v>0</v>
      </c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</row>
    <row r="465" spans="1:25" s="230" customFormat="1" ht="15.6" x14ac:dyDescent="0.3">
      <c r="A465" s="202">
        <v>994</v>
      </c>
      <c r="B465" s="188"/>
      <c r="C465" s="227"/>
      <c r="D465" s="188"/>
      <c r="E465" s="188"/>
      <c r="F465" s="188"/>
      <c r="G465" s="188"/>
      <c r="H465" s="188"/>
      <c r="I465" s="188"/>
      <c r="J465" s="188"/>
      <c r="K465" s="235">
        <f t="shared" si="8"/>
        <v>0</v>
      </c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</row>
    <row r="466" spans="1:25" s="230" customFormat="1" ht="15.6" x14ac:dyDescent="0.3">
      <c r="A466" s="202">
        <v>995</v>
      </c>
      <c r="B466" s="188"/>
      <c r="C466" s="227"/>
      <c r="D466" s="188"/>
      <c r="E466" s="188"/>
      <c r="F466" s="188"/>
      <c r="G466" s="188"/>
      <c r="H466" s="188"/>
      <c r="I466" s="188"/>
      <c r="J466" s="188"/>
      <c r="K466" s="235">
        <f t="shared" si="8"/>
        <v>0</v>
      </c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</row>
    <row r="467" spans="1:25" s="230" customFormat="1" ht="15.6" x14ac:dyDescent="0.3">
      <c r="A467" s="202">
        <v>996</v>
      </c>
      <c r="B467" s="188"/>
      <c r="C467" s="227"/>
      <c r="D467" s="188"/>
      <c r="E467" s="188"/>
      <c r="F467" s="188"/>
      <c r="G467" s="188"/>
      <c r="H467" s="188"/>
      <c r="I467" s="188"/>
      <c r="J467" s="188"/>
      <c r="K467" s="235">
        <f t="shared" si="8"/>
        <v>0</v>
      </c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</row>
    <row r="468" spans="1:25" s="230" customFormat="1" ht="15.6" x14ac:dyDescent="0.3">
      <c r="A468" s="202">
        <v>997</v>
      </c>
      <c r="B468" s="188"/>
      <c r="C468" s="227"/>
      <c r="D468" s="188"/>
      <c r="E468" s="188"/>
      <c r="F468" s="188"/>
      <c r="G468" s="188"/>
      <c r="H468" s="188"/>
      <c r="I468" s="188"/>
      <c r="J468" s="188"/>
      <c r="K468" s="235">
        <f t="shared" si="8"/>
        <v>0</v>
      </c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</row>
    <row r="469" spans="1:25" s="230" customFormat="1" ht="15.6" x14ac:dyDescent="0.3">
      <c r="A469" s="202">
        <v>998</v>
      </c>
      <c r="B469" s="188"/>
      <c r="C469" s="227"/>
      <c r="D469" s="188"/>
      <c r="E469" s="188"/>
      <c r="F469" s="188"/>
      <c r="G469" s="188"/>
      <c r="H469" s="188"/>
      <c r="I469" s="188"/>
      <c r="J469" s="188"/>
      <c r="K469" s="235">
        <f t="shared" si="8"/>
        <v>0</v>
      </c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</row>
    <row r="470" spans="1:25" s="230" customFormat="1" ht="15.6" x14ac:dyDescent="0.3">
      <c r="A470" s="202">
        <v>999</v>
      </c>
      <c r="B470" s="188"/>
      <c r="C470" s="227"/>
      <c r="D470" s="188"/>
      <c r="E470" s="188"/>
      <c r="F470" s="188"/>
      <c r="G470" s="188"/>
      <c r="H470" s="188"/>
      <c r="I470" s="188"/>
      <c r="J470" s="188"/>
      <c r="K470" s="235">
        <f t="shared" si="8"/>
        <v>0</v>
      </c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</row>
    <row r="471" spans="1:25" s="230" customFormat="1" ht="15.6" x14ac:dyDescent="0.3">
      <c r="A471" s="202">
        <v>1000</v>
      </c>
      <c r="B471" s="188"/>
      <c r="C471" s="227"/>
      <c r="D471" s="188"/>
      <c r="E471" s="188"/>
      <c r="F471" s="188"/>
      <c r="G471" s="188"/>
      <c r="H471" s="188"/>
      <c r="I471" s="188"/>
      <c r="J471" s="188"/>
      <c r="K471" s="235">
        <f t="shared" si="8"/>
        <v>0</v>
      </c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</row>
    <row r="472" spans="1:25" ht="15.6" x14ac:dyDescent="0.3">
      <c r="A472" s="179"/>
      <c r="B472" s="188"/>
      <c r="C472" s="189"/>
      <c r="D472" s="188"/>
      <c r="E472" s="188"/>
      <c r="F472" s="188"/>
      <c r="G472" s="188"/>
      <c r="H472" s="188"/>
      <c r="I472" s="188"/>
      <c r="J472" s="188"/>
      <c r="K472" s="182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</row>
    <row r="473" spans="1:25" ht="15.6" x14ac:dyDescent="0.3">
      <c r="A473" s="179"/>
      <c r="B473" s="188"/>
      <c r="C473" s="189"/>
      <c r="D473" s="188"/>
      <c r="E473" s="188"/>
      <c r="F473" s="188"/>
      <c r="G473" s="188"/>
      <c r="H473" s="188"/>
      <c r="I473" s="188"/>
      <c r="J473" s="188"/>
      <c r="K473" s="182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</row>
    <row r="474" spans="1:25" ht="15.6" x14ac:dyDescent="0.3">
      <c r="A474" s="179"/>
      <c r="B474" s="188"/>
      <c r="C474" s="189"/>
      <c r="D474" s="188"/>
      <c r="E474" s="188"/>
      <c r="F474" s="188"/>
      <c r="G474" s="188"/>
      <c r="H474" s="188"/>
      <c r="I474" s="188"/>
      <c r="J474" s="188"/>
      <c r="K474" s="182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</row>
    <row r="475" spans="1:25" ht="15.6" x14ac:dyDescent="0.3">
      <c r="A475" s="179"/>
      <c r="B475" s="188"/>
      <c r="C475" s="189"/>
      <c r="D475" s="188"/>
      <c r="E475" s="188"/>
      <c r="F475" s="188"/>
      <c r="G475" s="188"/>
      <c r="H475" s="188"/>
      <c r="I475" s="188"/>
      <c r="J475" s="188"/>
      <c r="K475" s="182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</row>
    <row r="476" spans="1:25" ht="15.6" x14ac:dyDescent="0.3">
      <c r="A476" s="179"/>
      <c r="B476" s="188"/>
      <c r="C476" s="189"/>
      <c r="D476" s="188"/>
      <c r="E476" s="188"/>
      <c r="F476" s="188"/>
      <c r="G476" s="188"/>
      <c r="H476" s="188"/>
      <c r="I476" s="188"/>
      <c r="J476" s="188"/>
      <c r="K476" s="182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</row>
    <row r="477" spans="1:25" ht="15.6" x14ac:dyDescent="0.3">
      <c r="A477" s="179"/>
      <c r="B477" s="188"/>
      <c r="C477" s="189"/>
      <c r="D477" s="188"/>
      <c r="E477" s="188"/>
      <c r="F477" s="188"/>
      <c r="G477" s="188"/>
      <c r="H477" s="188"/>
      <c r="I477" s="188"/>
      <c r="J477" s="188"/>
      <c r="K477" s="182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</row>
    <row r="478" spans="1:25" ht="15.6" x14ac:dyDescent="0.3">
      <c r="A478" s="179"/>
      <c r="B478" s="188"/>
      <c r="C478" s="189"/>
      <c r="D478" s="188"/>
      <c r="E478" s="188"/>
      <c r="F478" s="188"/>
      <c r="G478" s="188"/>
      <c r="H478" s="188"/>
      <c r="I478" s="188"/>
      <c r="J478" s="188"/>
      <c r="K478" s="182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</row>
    <row r="479" spans="1:25" ht="15.6" x14ac:dyDescent="0.3">
      <c r="A479" s="179"/>
      <c r="B479" s="188"/>
      <c r="C479" s="189"/>
      <c r="D479" s="188"/>
      <c r="E479" s="188"/>
      <c r="F479" s="188"/>
      <c r="G479" s="188"/>
      <c r="H479" s="188"/>
      <c r="I479" s="188"/>
      <c r="J479" s="188"/>
      <c r="K479" s="182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</row>
    <row r="480" spans="1:25" ht="15.6" x14ac:dyDescent="0.3">
      <c r="A480" s="179"/>
      <c r="B480" s="188"/>
      <c r="C480" s="189"/>
      <c r="D480" s="188"/>
      <c r="E480" s="188"/>
      <c r="F480" s="188"/>
      <c r="G480" s="188"/>
      <c r="H480" s="188"/>
      <c r="I480" s="188"/>
      <c r="J480" s="188"/>
      <c r="K480" s="182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</row>
    <row r="481" spans="1:25" ht="15.6" x14ac:dyDescent="0.3">
      <c r="A481" s="179"/>
      <c r="B481" s="188"/>
      <c r="C481" s="189"/>
      <c r="D481" s="188"/>
      <c r="E481" s="188"/>
      <c r="F481" s="188"/>
      <c r="G481" s="188"/>
      <c r="H481" s="188"/>
      <c r="I481" s="188"/>
      <c r="J481" s="188"/>
      <c r="K481" s="182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</row>
    <row r="482" spans="1:25" ht="15.6" x14ac:dyDescent="0.3">
      <c r="A482" s="179"/>
      <c r="B482" s="188"/>
      <c r="C482" s="189"/>
      <c r="D482" s="188"/>
      <c r="E482" s="188"/>
      <c r="F482" s="188"/>
      <c r="G482" s="188"/>
      <c r="H482" s="188"/>
      <c r="I482" s="188"/>
      <c r="J482" s="188"/>
      <c r="K482" s="182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</row>
    <row r="483" spans="1:25" ht="15.6" x14ac:dyDescent="0.3">
      <c r="A483" s="179"/>
      <c r="B483" s="188"/>
      <c r="C483" s="189"/>
      <c r="D483" s="188"/>
      <c r="E483" s="188"/>
      <c r="F483" s="188"/>
      <c r="G483" s="188"/>
      <c r="H483" s="188"/>
      <c r="I483" s="188"/>
      <c r="J483" s="188"/>
      <c r="K483" s="182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</row>
    <row r="484" spans="1:25" ht="15.6" x14ac:dyDescent="0.3">
      <c r="A484" s="179"/>
      <c r="B484" s="188"/>
      <c r="C484" s="189"/>
      <c r="D484" s="188"/>
      <c r="E484" s="188"/>
      <c r="F484" s="188"/>
      <c r="G484" s="188"/>
      <c r="H484" s="188"/>
      <c r="I484" s="188"/>
      <c r="J484" s="188"/>
      <c r="K484" s="182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</row>
    <row r="485" spans="1:25" ht="15.6" x14ac:dyDescent="0.3">
      <c r="A485" s="179"/>
      <c r="B485" s="188"/>
      <c r="C485" s="189"/>
      <c r="D485" s="188"/>
      <c r="E485" s="188"/>
      <c r="F485" s="188"/>
      <c r="G485" s="188"/>
      <c r="H485" s="188"/>
      <c r="I485" s="188"/>
      <c r="J485" s="188"/>
      <c r="K485" s="182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</row>
    <row r="486" spans="1:25" ht="15.6" x14ac:dyDescent="0.3">
      <c r="A486" s="179"/>
      <c r="B486" s="188"/>
      <c r="C486" s="189"/>
      <c r="D486" s="188"/>
      <c r="E486" s="188"/>
      <c r="F486" s="188"/>
      <c r="G486" s="188"/>
      <c r="H486" s="188"/>
      <c r="I486" s="188"/>
      <c r="J486" s="188"/>
      <c r="K486" s="182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</row>
    <row r="487" spans="1:25" ht="15.6" x14ac:dyDescent="0.3">
      <c r="A487" s="179"/>
      <c r="B487" s="188"/>
      <c r="C487" s="189"/>
      <c r="D487" s="188"/>
      <c r="E487" s="188"/>
      <c r="F487" s="188"/>
      <c r="G487" s="188"/>
      <c r="H487" s="188"/>
      <c r="I487" s="188"/>
      <c r="J487" s="188"/>
      <c r="K487" s="182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</row>
    <row r="488" spans="1:25" ht="15.6" x14ac:dyDescent="0.3">
      <c r="A488" s="179"/>
      <c r="B488" s="188"/>
      <c r="C488" s="189"/>
      <c r="D488" s="188"/>
      <c r="E488" s="188"/>
      <c r="F488" s="188"/>
      <c r="G488" s="188"/>
      <c r="H488" s="188"/>
      <c r="I488" s="188"/>
      <c r="J488" s="188"/>
      <c r="K488" s="182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</row>
    <row r="489" spans="1:25" ht="15.6" x14ac:dyDescent="0.3">
      <c r="A489" s="179"/>
      <c r="B489" s="188"/>
      <c r="C489" s="189"/>
      <c r="D489" s="188"/>
      <c r="E489" s="188"/>
      <c r="F489" s="188"/>
      <c r="G489" s="188"/>
      <c r="H489" s="188"/>
      <c r="I489" s="188"/>
      <c r="J489" s="188"/>
      <c r="K489" s="182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</row>
    <row r="490" spans="1:25" ht="15.6" x14ac:dyDescent="0.3">
      <c r="A490" s="179"/>
      <c r="B490" s="188"/>
      <c r="C490" s="189"/>
      <c r="D490" s="188"/>
      <c r="E490" s="188"/>
      <c r="F490" s="188"/>
      <c r="G490" s="188"/>
      <c r="H490" s="188"/>
      <c r="I490" s="188"/>
      <c r="J490" s="188"/>
      <c r="K490" s="182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</row>
    <row r="491" spans="1:25" ht="15.6" x14ac:dyDescent="0.3">
      <c r="A491" s="179"/>
      <c r="B491" s="188"/>
      <c r="C491" s="189"/>
      <c r="D491" s="188"/>
      <c r="E491" s="188"/>
      <c r="F491" s="188"/>
      <c r="G491" s="188"/>
      <c r="H491" s="188"/>
      <c r="I491" s="188"/>
      <c r="J491" s="188"/>
      <c r="K491" s="182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</row>
    <row r="492" spans="1:25" ht="15.6" x14ac:dyDescent="0.3">
      <c r="A492" s="179"/>
      <c r="B492" s="188"/>
      <c r="C492" s="189"/>
      <c r="D492" s="188"/>
      <c r="E492" s="188"/>
      <c r="F492" s="188"/>
      <c r="G492" s="188"/>
      <c r="H492" s="188"/>
      <c r="I492" s="188"/>
      <c r="J492" s="188"/>
      <c r="K492" s="182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</row>
    <row r="493" spans="1:25" ht="15.6" x14ac:dyDescent="0.3">
      <c r="A493" s="179"/>
      <c r="B493" s="188"/>
      <c r="C493" s="189"/>
      <c r="D493" s="188"/>
      <c r="E493" s="188"/>
      <c r="F493" s="188"/>
      <c r="G493" s="188"/>
      <c r="H493" s="188"/>
      <c r="I493" s="188"/>
      <c r="J493" s="188"/>
      <c r="K493" s="182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</row>
    <row r="494" spans="1:25" ht="15.6" x14ac:dyDescent="0.3">
      <c r="A494" s="179"/>
      <c r="B494" s="188"/>
      <c r="C494" s="189"/>
      <c r="D494" s="188"/>
      <c r="E494" s="188"/>
      <c r="F494" s="188"/>
      <c r="G494" s="188"/>
      <c r="H494" s="188"/>
      <c r="I494" s="188"/>
      <c r="J494" s="188"/>
      <c r="K494" s="182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</row>
    <row r="495" spans="1:25" ht="15.6" x14ac:dyDescent="0.3">
      <c r="A495" s="179"/>
      <c r="B495" s="188"/>
      <c r="C495" s="189"/>
      <c r="D495" s="188"/>
      <c r="E495" s="188"/>
      <c r="F495" s="188"/>
      <c r="G495" s="188"/>
      <c r="H495" s="188"/>
      <c r="I495" s="188"/>
      <c r="J495" s="188"/>
      <c r="K495" s="182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</row>
    <row r="496" spans="1:25" ht="15.6" x14ac:dyDescent="0.3">
      <c r="A496" s="179"/>
      <c r="B496" s="188"/>
      <c r="C496" s="189"/>
      <c r="D496" s="188"/>
      <c r="E496" s="188"/>
      <c r="F496" s="188"/>
      <c r="G496" s="188"/>
      <c r="H496" s="188"/>
      <c r="I496" s="188"/>
      <c r="J496" s="188"/>
      <c r="K496" s="182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</row>
    <row r="497" spans="1:25" ht="15.6" x14ac:dyDescent="0.3">
      <c r="A497" s="179"/>
      <c r="B497" s="188"/>
      <c r="C497" s="189"/>
      <c r="D497" s="188"/>
      <c r="E497" s="188"/>
      <c r="F497" s="188"/>
      <c r="G497" s="188"/>
      <c r="H497" s="188"/>
      <c r="I497" s="188"/>
      <c r="J497" s="188"/>
      <c r="K497" s="182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</row>
    <row r="498" spans="1:25" ht="15.6" x14ac:dyDescent="0.3">
      <c r="A498" s="179"/>
      <c r="B498" s="188"/>
      <c r="C498" s="189"/>
      <c r="D498" s="188"/>
      <c r="E498" s="188"/>
      <c r="F498" s="188"/>
      <c r="G498" s="188"/>
      <c r="H498" s="188"/>
      <c r="I498" s="188"/>
      <c r="J498" s="188"/>
      <c r="K498" s="182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</row>
    <row r="499" spans="1:25" ht="15.6" x14ac:dyDescent="0.3">
      <c r="A499" s="179"/>
      <c r="B499" s="188"/>
      <c r="C499" s="189"/>
      <c r="D499" s="188"/>
      <c r="E499" s="188"/>
      <c r="F499" s="188"/>
      <c r="G499" s="188"/>
      <c r="H499" s="188"/>
      <c r="I499" s="188"/>
      <c r="J499" s="188"/>
      <c r="K499" s="182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</row>
    <row r="500" spans="1:25" ht="15.6" x14ac:dyDescent="0.3">
      <c r="A500" s="179"/>
      <c r="B500" s="188"/>
      <c r="C500" s="189"/>
      <c r="D500" s="188"/>
      <c r="E500" s="188"/>
      <c r="F500" s="188"/>
      <c r="G500" s="188"/>
      <c r="H500" s="188"/>
      <c r="I500" s="188"/>
      <c r="J500" s="188"/>
      <c r="K500" s="182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</row>
    <row r="501" spans="1:25" ht="15.6" x14ac:dyDescent="0.3">
      <c r="A501" s="179"/>
      <c r="B501" s="188"/>
      <c r="C501" s="189"/>
      <c r="D501" s="188"/>
      <c r="E501" s="188"/>
      <c r="F501" s="188"/>
      <c r="G501" s="188"/>
      <c r="H501" s="188"/>
      <c r="I501" s="188"/>
      <c r="J501" s="188"/>
      <c r="K501" s="182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</row>
    <row r="502" spans="1:25" ht="15.6" x14ac:dyDescent="0.3">
      <c r="A502" s="179"/>
      <c r="B502" s="188"/>
      <c r="C502" s="189"/>
      <c r="D502" s="188"/>
      <c r="E502" s="188"/>
      <c r="F502" s="188"/>
      <c r="G502" s="188"/>
      <c r="H502" s="188"/>
      <c r="I502" s="188"/>
      <c r="J502" s="188"/>
      <c r="K502" s="182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</row>
    <row r="503" spans="1:25" ht="15.6" x14ac:dyDescent="0.3">
      <c r="A503" s="179"/>
      <c r="B503" s="188"/>
      <c r="C503" s="189"/>
      <c r="D503" s="188"/>
      <c r="E503" s="188"/>
      <c r="F503" s="188"/>
      <c r="G503" s="188"/>
      <c r="H503" s="188"/>
      <c r="I503" s="188"/>
      <c r="J503" s="188"/>
      <c r="K503" s="182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</row>
    <row r="504" spans="1:25" ht="15.6" x14ac:dyDescent="0.3">
      <c r="A504" s="179"/>
      <c r="B504" s="188"/>
      <c r="C504" s="189"/>
      <c r="D504" s="188"/>
      <c r="E504" s="188"/>
      <c r="F504" s="188"/>
      <c r="G504" s="188"/>
      <c r="H504" s="188"/>
      <c r="I504" s="188"/>
      <c r="J504" s="188"/>
      <c r="K504" s="182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</row>
    <row r="505" spans="1:25" ht="15.6" x14ac:dyDescent="0.3">
      <c r="A505" s="179"/>
      <c r="B505" s="188"/>
      <c r="C505" s="189"/>
      <c r="D505" s="188"/>
      <c r="E505" s="188"/>
      <c r="F505" s="188"/>
      <c r="G505" s="188"/>
      <c r="H505" s="188"/>
      <c r="I505" s="188"/>
      <c r="J505" s="188"/>
      <c r="K505" s="182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</row>
    <row r="506" spans="1:25" ht="15.6" x14ac:dyDescent="0.3">
      <c r="A506" s="179"/>
      <c r="B506" s="188"/>
      <c r="C506" s="189"/>
      <c r="D506" s="188"/>
      <c r="E506" s="188"/>
      <c r="F506" s="188"/>
      <c r="G506" s="188"/>
      <c r="H506" s="188"/>
      <c r="I506" s="188"/>
      <c r="J506" s="188"/>
      <c r="K506" s="182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</row>
    <row r="507" spans="1:25" ht="15.6" x14ac:dyDescent="0.3">
      <c r="A507" s="179"/>
      <c r="B507" s="188"/>
      <c r="C507" s="189"/>
      <c r="D507" s="188"/>
      <c r="E507" s="188"/>
      <c r="F507" s="188"/>
      <c r="G507" s="188"/>
      <c r="H507" s="188"/>
      <c r="I507" s="188"/>
      <c r="J507" s="188"/>
      <c r="K507" s="182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</row>
    <row r="508" spans="1:25" ht="15.6" x14ac:dyDescent="0.3">
      <c r="A508" s="179"/>
      <c r="B508" s="188"/>
      <c r="C508" s="189"/>
      <c r="D508" s="188"/>
      <c r="E508" s="188"/>
      <c r="F508" s="188"/>
      <c r="G508" s="188"/>
      <c r="H508" s="188"/>
      <c r="I508" s="188"/>
      <c r="J508" s="188"/>
      <c r="K508" s="182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</row>
    <row r="509" spans="1:25" ht="15.6" x14ac:dyDescent="0.3">
      <c r="A509" s="179"/>
      <c r="B509" s="188"/>
      <c r="C509" s="189"/>
      <c r="D509" s="188"/>
      <c r="E509" s="188"/>
      <c r="F509" s="188"/>
      <c r="G509" s="188"/>
      <c r="H509" s="188"/>
      <c r="I509" s="188"/>
      <c r="J509" s="188"/>
      <c r="K509" s="182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</row>
    <row r="510" spans="1:25" ht="15.6" x14ac:dyDescent="0.3">
      <c r="A510" s="179"/>
      <c r="B510" s="188"/>
      <c r="C510" s="189"/>
      <c r="D510" s="188"/>
      <c r="E510" s="188"/>
      <c r="F510" s="188"/>
      <c r="G510" s="188"/>
      <c r="H510" s="188"/>
      <c r="I510" s="188"/>
      <c r="J510" s="188"/>
      <c r="K510" s="182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</row>
    <row r="511" spans="1:25" ht="15.6" x14ac:dyDescent="0.3">
      <c r="A511" s="179"/>
      <c r="B511" s="188"/>
      <c r="C511" s="189"/>
      <c r="D511" s="188"/>
      <c r="E511" s="188"/>
      <c r="F511" s="188"/>
      <c r="G511" s="188"/>
      <c r="H511" s="188"/>
      <c r="I511" s="188"/>
      <c r="J511" s="188"/>
      <c r="K511" s="182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</row>
    <row r="512" spans="1:25" ht="15.6" x14ac:dyDescent="0.3">
      <c r="A512" s="179"/>
      <c r="B512" s="188"/>
      <c r="C512" s="189"/>
      <c r="D512" s="188"/>
      <c r="E512" s="188"/>
      <c r="F512" s="188"/>
      <c r="G512" s="188"/>
      <c r="H512" s="188"/>
      <c r="I512" s="188"/>
      <c r="J512" s="188"/>
      <c r="K512" s="182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</row>
    <row r="513" spans="1:25" ht="15.6" x14ac:dyDescent="0.3">
      <c r="A513" s="179"/>
      <c r="B513" s="188"/>
      <c r="C513" s="189"/>
      <c r="D513" s="188"/>
      <c r="E513" s="188"/>
      <c r="F513" s="188"/>
      <c r="G513" s="188"/>
      <c r="H513" s="188"/>
      <c r="I513" s="188"/>
      <c r="J513" s="188"/>
      <c r="K513" s="182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</row>
    <row r="514" spans="1:25" ht="15.6" x14ac:dyDescent="0.3">
      <c r="A514" s="179"/>
      <c r="B514" s="188"/>
      <c r="C514" s="189"/>
      <c r="D514" s="188"/>
      <c r="E514" s="188"/>
      <c r="F514" s="188"/>
      <c r="G514" s="188"/>
      <c r="H514" s="188"/>
      <c r="I514" s="188"/>
      <c r="J514" s="188"/>
      <c r="K514" s="182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</row>
    <row r="515" spans="1:25" ht="15.6" x14ac:dyDescent="0.3">
      <c r="A515" s="179"/>
      <c r="B515" s="188"/>
      <c r="C515" s="189"/>
      <c r="D515" s="188"/>
      <c r="E515" s="188"/>
      <c r="F515" s="188"/>
      <c r="G515" s="188"/>
      <c r="H515" s="188"/>
      <c r="I515" s="188"/>
      <c r="J515" s="188"/>
      <c r="K515" s="182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</row>
    <row r="516" spans="1:25" ht="15.6" x14ac:dyDescent="0.3">
      <c r="A516" s="179"/>
      <c r="B516" s="188"/>
      <c r="C516" s="189"/>
      <c r="D516" s="188"/>
      <c r="E516" s="188"/>
      <c r="F516" s="188"/>
      <c r="G516" s="188"/>
      <c r="H516" s="188"/>
      <c r="I516" s="188"/>
      <c r="J516" s="188"/>
      <c r="K516" s="182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</row>
    <row r="517" spans="1:25" ht="15.6" x14ac:dyDescent="0.3">
      <c r="A517" s="179"/>
      <c r="B517" s="188"/>
      <c r="C517" s="189"/>
      <c r="D517" s="188"/>
      <c r="E517" s="188"/>
      <c r="F517" s="188"/>
      <c r="G517" s="188"/>
      <c r="H517" s="188"/>
      <c r="I517" s="188"/>
      <c r="J517" s="188"/>
      <c r="K517" s="182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</row>
    <row r="518" spans="1:25" ht="15.6" x14ac:dyDescent="0.3">
      <c r="A518" s="179"/>
      <c r="B518" s="188"/>
      <c r="C518" s="189"/>
      <c r="D518" s="188"/>
      <c r="E518" s="188"/>
      <c r="F518" s="188"/>
      <c r="G518" s="188"/>
      <c r="H518" s="188"/>
      <c r="I518" s="188"/>
      <c r="J518" s="188"/>
      <c r="K518" s="182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</row>
    <row r="519" spans="1:25" ht="15.6" x14ac:dyDescent="0.3">
      <c r="A519" s="179"/>
      <c r="B519" s="188"/>
      <c r="C519" s="189"/>
      <c r="D519" s="188"/>
      <c r="E519" s="188"/>
      <c r="F519" s="188"/>
      <c r="G519" s="188"/>
      <c r="H519" s="188"/>
      <c r="I519" s="188"/>
      <c r="J519" s="188"/>
      <c r="K519" s="182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</row>
    <row r="520" spans="1:25" ht="15.6" x14ac:dyDescent="0.3">
      <c r="A520" s="179"/>
      <c r="B520" s="188"/>
      <c r="C520" s="189"/>
      <c r="D520" s="188"/>
      <c r="E520" s="188"/>
      <c r="F520" s="188"/>
      <c r="G520" s="188"/>
      <c r="H520" s="188"/>
      <c r="I520" s="188"/>
      <c r="J520" s="188"/>
      <c r="K520" s="182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</row>
    <row r="521" spans="1:25" ht="15.6" x14ac:dyDescent="0.3">
      <c r="A521" s="179"/>
      <c r="B521" s="188"/>
      <c r="C521" s="189"/>
      <c r="D521" s="188"/>
      <c r="E521" s="188"/>
      <c r="F521" s="188"/>
      <c r="G521" s="188"/>
      <c r="H521" s="188"/>
      <c r="I521" s="188"/>
      <c r="J521" s="188"/>
      <c r="K521" s="182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</row>
    <row r="522" spans="1:25" ht="15.6" x14ac:dyDescent="0.3">
      <c r="A522" s="179"/>
      <c r="B522" s="188"/>
      <c r="C522" s="189"/>
      <c r="D522" s="188"/>
      <c r="E522" s="188"/>
      <c r="F522" s="188"/>
      <c r="G522" s="188"/>
      <c r="H522" s="188"/>
      <c r="I522" s="188"/>
      <c r="J522" s="188"/>
      <c r="K522" s="182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</row>
    <row r="523" spans="1:25" ht="15.6" x14ac:dyDescent="0.3">
      <c r="A523" s="179"/>
      <c r="B523" s="188"/>
      <c r="C523" s="189"/>
      <c r="D523" s="188"/>
      <c r="E523" s="188"/>
      <c r="F523" s="188"/>
      <c r="G523" s="188"/>
      <c r="H523" s="188"/>
      <c r="I523" s="188"/>
      <c r="J523" s="188"/>
      <c r="K523" s="182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</row>
    <row r="524" spans="1:25" ht="15.6" x14ac:dyDescent="0.3">
      <c r="A524" s="179"/>
      <c r="B524" s="188"/>
      <c r="C524" s="189"/>
      <c r="D524" s="188"/>
      <c r="E524" s="188"/>
      <c r="F524" s="188"/>
      <c r="G524" s="188"/>
      <c r="H524" s="188"/>
      <c r="I524" s="188"/>
      <c r="J524" s="188"/>
      <c r="K524" s="182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</row>
    <row r="525" spans="1:25" ht="15.6" x14ac:dyDescent="0.3">
      <c r="A525" s="179"/>
      <c r="B525" s="188"/>
      <c r="C525" s="189"/>
      <c r="D525" s="188"/>
      <c r="E525" s="188"/>
      <c r="F525" s="188"/>
      <c r="G525" s="188"/>
      <c r="H525" s="188"/>
      <c r="I525" s="188"/>
      <c r="J525" s="188"/>
      <c r="K525" s="182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</row>
    <row r="526" spans="1:25" ht="15.6" x14ac:dyDescent="0.3">
      <c r="A526" s="179"/>
      <c r="B526" s="188"/>
      <c r="C526" s="189"/>
      <c r="D526" s="188"/>
      <c r="E526" s="188"/>
      <c r="F526" s="188"/>
      <c r="G526" s="188"/>
      <c r="H526" s="188"/>
      <c r="I526" s="188"/>
      <c r="J526" s="188"/>
      <c r="K526" s="182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</row>
    <row r="527" spans="1:25" ht="15.6" x14ac:dyDescent="0.3">
      <c r="A527" s="179"/>
      <c r="B527" s="188"/>
      <c r="C527" s="189"/>
      <c r="D527" s="188"/>
      <c r="E527" s="188"/>
      <c r="F527" s="188"/>
      <c r="G527" s="188"/>
      <c r="H527" s="188"/>
      <c r="I527" s="188"/>
      <c r="J527" s="188"/>
      <c r="K527" s="182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</row>
    <row r="528" spans="1:25" ht="15.6" x14ac:dyDescent="0.3">
      <c r="A528" s="179"/>
      <c r="B528" s="188"/>
      <c r="C528" s="189"/>
      <c r="D528" s="188"/>
      <c r="E528" s="188"/>
      <c r="F528" s="188"/>
      <c r="G528" s="188"/>
      <c r="H528" s="188"/>
      <c r="I528" s="188"/>
      <c r="J528" s="188"/>
      <c r="K528" s="182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</row>
    <row r="529" spans="1:25" ht="15.6" x14ac:dyDescent="0.3">
      <c r="A529" s="179"/>
      <c r="B529" s="188"/>
      <c r="C529" s="189"/>
      <c r="D529" s="188"/>
      <c r="E529" s="188"/>
      <c r="F529" s="188"/>
      <c r="G529" s="188"/>
      <c r="H529" s="188"/>
      <c r="I529" s="188"/>
      <c r="J529" s="188"/>
      <c r="K529" s="182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</row>
    <row r="530" spans="1:25" ht="15.6" x14ac:dyDescent="0.3">
      <c r="A530" s="179"/>
      <c r="B530" s="188"/>
      <c r="C530" s="189"/>
      <c r="D530" s="188"/>
      <c r="E530" s="188"/>
      <c r="F530" s="188"/>
      <c r="G530" s="188"/>
      <c r="H530" s="188"/>
      <c r="I530" s="188"/>
      <c r="J530" s="188"/>
      <c r="K530" s="182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</row>
    <row r="531" spans="1:25" ht="15.6" x14ac:dyDescent="0.3">
      <c r="A531" s="179"/>
      <c r="B531" s="188"/>
      <c r="C531" s="189"/>
      <c r="D531" s="188"/>
      <c r="E531" s="188"/>
      <c r="F531" s="188"/>
      <c r="G531" s="188"/>
      <c r="H531" s="188"/>
      <c r="I531" s="188"/>
      <c r="J531" s="188"/>
      <c r="K531" s="182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</row>
    <row r="532" spans="1:25" ht="15.6" x14ac:dyDescent="0.3">
      <c r="A532" s="179"/>
      <c r="B532" s="188"/>
      <c r="C532" s="189"/>
      <c r="D532" s="188"/>
      <c r="E532" s="188"/>
      <c r="F532" s="188"/>
      <c r="G532" s="188"/>
      <c r="H532" s="188"/>
      <c r="I532" s="188"/>
      <c r="J532" s="188"/>
      <c r="K532" s="182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</row>
    <row r="533" spans="1:25" ht="15.6" x14ac:dyDescent="0.3">
      <c r="A533" s="179"/>
      <c r="B533" s="188"/>
      <c r="C533" s="189"/>
      <c r="D533" s="188"/>
      <c r="E533" s="188"/>
      <c r="F533" s="188"/>
      <c r="G533" s="188"/>
      <c r="H533" s="188"/>
      <c r="I533" s="188"/>
      <c r="J533" s="188"/>
      <c r="K533" s="182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</row>
    <row r="534" spans="1:25" ht="15.6" x14ac:dyDescent="0.3">
      <c r="A534" s="179"/>
      <c r="B534" s="188"/>
      <c r="C534" s="189"/>
      <c r="D534" s="188"/>
      <c r="E534" s="188"/>
      <c r="F534" s="188"/>
      <c r="G534" s="188"/>
      <c r="H534" s="188"/>
      <c r="I534" s="188"/>
      <c r="J534" s="188"/>
      <c r="K534" s="182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</row>
    <row r="535" spans="1:25" ht="15.6" x14ac:dyDescent="0.3">
      <c r="A535" s="179"/>
      <c r="B535" s="188"/>
      <c r="C535" s="189"/>
      <c r="D535" s="188"/>
      <c r="E535" s="188"/>
      <c r="F535" s="188"/>
      <c r="G535" s="188"/>
      <c r="H535" s="188"/>
      <c r="I535" s="188"/>
      <c r="J535" s="188"/>
      <c r="K535" s="182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</row>
    <row r="536" spans="1:25" ht="15.6" x14ac:dyDescent="0.3">
      <c r="A536" s="179"/>
      <c r="B536" s="188"/>
      <c r="C536" s="189"/>
      <c r="D536" s="188"/>
      <c r="E536" s="188"/>
      <c r="F536" s="188"/>
      <c r="G536" s="188"/>
      <c r="H536" s="188"/>
      <c r="I536" s="188"/>
      <c r="J536" s="188"/>
      <c r="K536" s="182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</row>
    <row r="537" spans="1:25" ht="15.6" x14ac:dyDescent="0.3">
      <c r="A537" s="179"/>
      <c r="B537" s="188"/>
      <c r="C537" s="189"/>
      <c r="D537" s="188"/>
      <c r="E537" s="188"/>
      <c r="F537" s="188"/>
      <c r="G537" s="188"/>
      <c r="H537" s="188"/>
      <c r="I537" s="188"/>
      <c r="J537" s="188"/>
      <c r="K537" s="182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</row>
    <row r="538" spans="1:25" ht="15.6" x14ac:dyDescent="0.3">
      <c r="A538" s="179"/>
      <c r="B538" s="188"/>
      <c r="C538" s="189"/>
      <c r="D538" s="188"/>
      <c r="E538" s="188"/>
      <c r="F538" s="188"/>
      <c r="G538" s="188"/>
      <c r="H538" s="188"/>
      <c r="I538" s="188"/>
      <c r="J538" s="188"/>
      <c r="K538" s="182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</row>
    <row r="539" spans="1:25" ht="15.6" x14ac:dyDescent="0.3">
      <c r="A539" s="179"/>
      <c r="B539" s="188"/>
      <c r="C539" s="189"/>
      <c r="D539" s="188"/>
      <c r="E539" s="188"/>
      <c r="F539" s="188"/>
      <c r="G539" s="188"/>
      <c r="H539" s="188"/>
      <c r="I539" s="188"/>
      <c r="J539" s="188"/>
      <c r="K539" s="182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</row>
    <row r="540" spans="1:25" ht="15.6" x14ac:dyDescent="0.3">
      <c r="A540" s="179"/>
      <c r="B540" s="188"/>
      <c r="C540" s="189"/>
      <c r="D540" s="188"/>
      <c r="E540" s="188"/>
      <c r="F540" s="188"/>
      <c r="G540" s="188"/>
      <c r="H540" s="188"/>
      <c r="I540" s="188"/>
      <c r="J540" s="188"/>
      <c r="K540" s="182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</row>
    <row r="541" spans="1:25" ht="15.6" x14ac:dyDescent="0.3">
      <c r="A541" s="179"/>
      <c r="B541" s="188"/>
      <c r="C541" s="189"/>
      <c r="D541" s="188"/>
      <c r="E541" s="188"/>
      <c r="F541" s="188"/>
      <c r="G541" s="188"/>
      <c r="H541" s="188"/>
      <c r="I541" s="188"/>
      <c r="J541" s="188"/>
      <c r="K541" s="182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</row>
    <row r="542" spans="1:25" ht="15.6" x14ac:dyDescent="0.3">
      <c r="A542" s="179"/>
      <c r="B542" s="188"/>
      <c r="C542" s="189"/>
      <c r="D542" s="188"/>
      <c r="E542" s="188"/>
      <c r="F542" s="188"/>
      <c r="G542" s="188"/>
      <c r="H542" s="188"/>
      <c r="I542" s="188"/>
      <c r="J542" s="188"/>
      <c r="K542" s="182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</row>
    <row r="543" spans="1:25" ht="15.6" x14ac:dyDescent="0.3">
      <c r="A543" s="179"/>
      <c r="B543" s="188"/>
      <c r="C543" s="189"/>
      <c r="D543" s="188"/>
      <c r="E543" s="188"/>
      <c r="F543" s="188"/>
      <c r="G543" s="188"/>
      <c r="H543" s="188"/>
      <c r="I543" s="188"/>
      <c r="J543" s="188"/>
      <c r="K543" s="182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</row>
    <row r="544" spans="1:25" ht="15.6" x14ac:dyDescent="0.3">
      <c r="A544" s="179"/>
      <c r="B544" s="188"/>
      <c r="C544" s="189"/>
      <c r="D544" s="188"/>
      <c r="E544" s="188"/>
      <c r="F544" s="188"/>
      <c r="G544" s="188"/>
      <c r="H544" s="188"/>
      <c r="I544" s="188"/>
      <c r="J544" s="188"/>
      <c r="K544" s="182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</row>
    <row r="545" spans="1:25" ht="15.6" x14ac:dyDescent="0.3">
      <c r="A545" s="179"/>
      <c r="B545" s="188"/>
      <c r="C545" s="189"/>
      <c r="D545" s="188"/>
      <c r="E545" s="188"/>
      <c r="F545" s="188"/>
      <c r="G545" s="188"/>
      <c r="H545" s="188"/>
      <c r="I545" s="188"/>
      <c r="J545" s="188"/>
      <c r="K545" s="182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</row>
    <row r="546" spans="1:25" ht="15.6" x14ac:dyDescent="0.3">
      <c r="A546" s="179"/>
      <c r="B546" s="188"/>
      <c r="C546" s="189"/>
      <c r="D546" s="188"/>
      <c r="E546" s="188"/>
      <c r="F546" s="188"/>
      <c r="G546" s="188"/>
      <c r="H546" s="188"/>
      <c r="I546" s="188"/>
      <c r="J546" s="188"/>
      <c r="K546" s="182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</row>
    <row r="547" spans="1:25" ht="15.6" x14ac:dyDescent="0.3">
      <c r="A547" s="179"/>
      <c r="B547" s="188"/>
      <c r="C547" s="189"/>
      <c r="D547" s="188"/>
      <c r="E547" s="188"/>
      <c r="F547" s="188"/>
      <c r="G547" s="188"/>
      <c r="H547" s="188"/>
      <c r="I547" s="188"/>
      <c r="J547" s="188"/>
      <c r="K547" s="182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</row>
    <row r="548" spans="1:25" ht="15.6" x14ac:dyDescent="0.3">
      <c r="A548" s="179"/>
      <c r="B548" s="188"/>
      <c r="C548" s="189"/>
      <c r="D548" s="188"/>
      <c r="E548" s="188"/>
      <c r="F548" s="188"/>
      <c r="G548" s="188"/>
      <c r="H548" s="188"/>
      <c r="I548" s="188"/>
      <c r="J548" s="188"/>
      <c r="K548" s="182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</row>
    <row r="549" spans="1:25" ht="15.6" x14ac:dyDescent="0.3">
      <c r="A549" s="179"/>
      <c r="B549" s="188"/>
      <c r="C549" s="189"/>
      <c r="D549" s="188"/>
      <c r="E549" s="188"/>
      <c r="F549" s="188"/>
      <c r="G549" s="188"/>
      <c r="H549" s="188"/>
      <c r="I549" s="188"/>
      <c r="J549" s="188"/>
      <c r="K549" s="182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</row>
    <row r="550" spans="1:25" ht="15.6" x14ac:dyDescent="0.3">
      <c r="A550" s="179"/>
      <c r="B550" s="188"/>
      <c r="C550" s="189"/>
      <c r="D550" s="188"/>
      <c r="E550" s="188"/>
      <c r="F550" s="188"/>
      <c r="G550" s="188"/>
      <c r="H550" s="188"/>
      <c r="I550" s="188"/>
      <c r="J550" s="188"/>
      <c r="K550" s="182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</row>
    <row r="551" spans="1:25" ht="15.6" x14ac:dyDescent="0.3">
      <c r="A551" s="179"/>
      <c r="B551" s="188"/>
      <c r="C551" s="189"/>
      <c r="D551" s="188"/>
      <c r="E551" s="188"/>
      <c r="F551" s="188"/>
      <c r="G551" s="188"/>
      <c r="H551" s="188"/>
      <c r="I551" s="188"/>
      <c r="J551" s="188"/>
      <c r="K551" s="182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</row>
    <row r="552" spans="1:25" ht="15.6" x14ac:dyDescent="0.3">
      <c r="A552" s="179"/>
      <c r="B552" s="188"/>
      <c r="C552" s="189"/>
      <c r="D552" s="188"/>
      <c r="E552" s="188"/>
      <c r="F552" s="188"/>
      <c r="G552" s="188"/>
      <c r="H552" s="188"/>
      <c r="I552" s="188"/>
      <c r="J552" s="188"/>
      <c r="K552" s="182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</row>
    <row r="553" spans="1:25" ht="15.6" x14ac:dyDescent="0.3">
      <c r="A553" s="179"/>
      <c r="B553" s="188"/>
      <c r="C553" s="189"/>
      <c r="D553" s="188"/>
      <c r="E553" s="188"/>
      <c r="F553" s="188"/>
      <c r="G553" s="188"/>
      <c r="H553" s="188"/>
      <c r="I553" s="188"/>
      <c r="J553" s="188"/>
      <c r="K553" s="182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</row>
    <row r="554" spans="1:25" ht="15.6" x14ac:dyDescent="0.3">
      <c r="A554" s="179"/>
      <c r="B554" s="188"/>
      <c r="C554" s="189"/>
      <c r="D554" s="188"/>
      <c r="E554" s="188"/>
      <c r="F554" s="188"/>
      <c r="G554" s="188"/>
      <c r="H554" s="188"/>
      <c r="I554" s="188"/>
      <c r="J554" s="188"/>
      <c r="K554" s="182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</row>
    <row r="555" spans="1:25" ht="15.6" x14ac:dyDescent="0.3">
      <c r="A555" s="179"/>
      <c r="B555" s="188"/>
      <c r="C555" s="189"/>
      <c r="D555" s="188"/>
      <c r="E555" s="188"/>
      <c r="F555" s="188"/>
      <c r="G555" s="188"/>
      <c r="H555" s="188"/>
      <c r="I555" s="188"/>
      <c r="J555" s="188"/>
      <c r="K555" s="182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</row>
    <row r="556" spans="1:25" ht="15.6" x14ac:dyDescent="0.3">
      <c r="A556" s="179"/>
      <c r="B556" s="188"/>
      <c r="C556" s="189"/>
      <c r="D556" s="188"/>
      <c r="E556" s="188"/>
      <c r="F556" s="188"/>
      <c r="G556" s="188"/>
      <c r="H556" s="188"/>
      <c r="I556" s="188"/>
      <c r="J556" s="188"/>
      <c r="K556" s="182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</row>
    <row r="557" spans="1:25" ht="15.6" x14ac:dyDescent="0.3">
      <c r="A557" s="179"/>
      <c r="B557" s="188"/>
      <c r="C557" s="189"/>
      <c r="D557" s="188"/>
      <c r="E557" s="188"/>
      <c r="F557" s="188"/>
      <c r="G557" s="188"/>
      <c r="H557" s="188"/>
      <c r="I557" s="188"/>
      <c r="J557" s="188"/>
      <c r="K557" s="182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</row>
    <row r="558" spans="1:25" ht="15.6" x14ac:dyDescent="0.3">
      <c r="A558" s="179"/>
      <c r="B558" s="188"/>
      <c r="C558" s="189"/>
      <c r="D558" s="188"/>
      <c r="E558" s="188"/>
      <c r="F558" s="188"/>
      <c r="G558" s="188"/>
      <c r="H558" s="188"/>
      <c r="I558" s="188"/>
      <c r="J558" s="188"/>
      <c r="K558" s="182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</row>
    <row r="559" spans="1:25" ht="15.6" x14ac:dyDescent="0.3">
      <c r="A559" s="179"/>
      <c r="B559" s="188"/>
      <c r="C559" s="189"/>
      <c r="D559" s="188"/>
      <c r="E559" s="188"/>
      <c r="F559" s="188"/>
      <c r="G559" s="188"/>
      <c r="H559" s="188"/>
      <c r="I559" s="188"/>
      <c r="J559" s="188"/>
      <c r="K559" s="182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</row>
    <row r="560" spans="1:25" ht="15.6" x14ac:dyDescent="0.3">
      <c r="A560" s="179"/>
      <c r="B560" s="188"/>
      <c r="C560" s="189"/>
      <c r="D560" s="188"/>
      <c r="E560" s="188"/>
      <c r="F560" s="188"/>
      <c r="G560" s="188"/>
      <c r="H560" s="188"/>
      <c r="I560" s="188"/>
      <c r="J560" s="188"/>
      <c r="K560" s="182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</row>
    <row r="561" spans="1:25" ht="15.6" x14ac:dyDescent="0.3">
      <c r="A561" s="179"/>
      <c r="B561" s="188"/>
      <c r="C561" s="189"/>
      <c r="D561" s="188"/>
      <c r="E561" s="188"/>
      <c r="F561" s="188"/>
      <c r="G561" s="188"/>
      <c r="H561" s="188"/>
      <c r="I561" s="188"/>
      <c r="J561" s="188"/>
      <c r="K561" s="182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</row>
    <row r="562" spans="1:25" ht="15.6" x14ac:dyDescent="0.3">
      <c r="A562" s="179"/>
      <c r="B562" s="188"/>
      <c r="C562" s="189"/>
      <c r="D562" s="188"/>
      <c r="E562" s="188"/>
      <c r="F562" s="188"/>
      <c r="G562" s="188"/>
      <c r="H562" s="188"/>
      <c r="I562" s="188"/>
      <c r="J562" s="188"/>
      <c r="K562" s="182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</row>
    <row r="563" spans="1:25" ht="15.6" x14ac:dyDescent="0.3">
      <c r="A563" s="179"/>
      <c r="B563" s="188"/>
      <c r="C563" s="189"/>
      <c r="D563" s="188"/>
      <c r="E563" s="188"/>
      <c r="F563" s="188"/>
      <c r="G563" s="188"/>
      <c r="H563" s="188"/>
      <c r="I563" s="188"/>
      <c r="J563" s="188"/>
      <c r="K563" s="182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</row>
    <row r="564" spans="1:25" ht="15.6" x14ac:dyDescent="0.3">
      <c r="A564" s="179"/>
      <c r="B564" s="188"/>
      <c r="C564" s="189"/>
      <c r="D564" s="188"/>
      <c r="E564" s="188"/>
      <c r="F564" s="188"/>
      <c r="G564" s="188"/>
      <c r="H564" s="188"/>
      <c r="I564" s="188"/>
      <c r="J564" s="188"/>
      <c r="K564" s="182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</row>
    <row r="565" spans="1:25" ht="15.6" x14ac:dyDescent="0.3">
      <c r="A565" s="179"/>
      <c r="B565" s="188"/>
      <c r="C565" s="189"/>
      <c r="D565" s="188"/>
      <c r="E565" s="188"/>
      <c r="F565" s="188"/>
      <c r="G565" s="188"/>
      <c r="H565" s="188"/>
      <c r="I565" s="188"/>
      <c r="J565" s="188"/>
      <c r="K565" s="182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</row>
    <row r="566" spans="1:25" ht="15.6" x14ac:dyDescent="0.3">
      <c r="A566" s="179"/>
      <c r="B566" s="188"/>
      <c r="C566" s="189"/>
      <c r="D566" s="188"/>
      <c r="E566" s="188"/>
      <c r="F566" s="188"/>
      <c r="G566" s="188"/>
      <c r="H566" s="188"/>
      <c r="I566" s="188"/>
      <c r="J566" s="188"/>
      <c r="K566" s="182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</row>
    <row r="567" spans="1:25" ht="15.6" x14ac:dyDescent="0.3">
      <c r="A567" s="179"/>
      <c r="B567" s="188"/>
      <c r="C567" s="189"/>
      <c r="D567" s="188"/>
      <c r="E567" s="188"/>
      <c r="F567" s="188"/>
      <c r="G567" s="188"/>
      <c r="H567" s="188"/>
      <c r="I567" s="188"/>
      <c r="J567" s="188"/>
      <c r="K567" s="182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</row>
    <row r="568" spans="1:25" ht="15.6" x14ac:dyDescent="0.3">
      <c r="A568" s="179"/>
      <c r="B568" s="188"/>
      <c r="C568" s="189"/>
      <c r="D568" s="188"/>
      <c r="E568" s="188"/>
      <c r="F568" s="188"/>
      <c r="G568" s="188"/>
      <c r="H568" s="188"/>
      <c r="I568" s="188"/>
      <c r="J568" s="188"/>
      <c r="K568" s="182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</row>
    <row r="569" spans="1:25" ht="15.6" x14ac:dyDescent="0.3">
      <c r="A569" s="179"/>
      <c r="B569" s="188"/>
      <c r="C569" s="189"/>
      <c r="D569" s="188"/>
      <c r="E569" s="188"/>
      <c r="F569" s="188"/>
      <c r="G569" s="188"/>
      <c r="H569" s="188"/>
      <c r="I569" s="188"/>
      <c r="J569" s="188"/>
      <c r="K569" s="182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</row>
    <row r="570" spans="1:25" ht="15.6" x14ac:dyDescent="0.3">
      <c r="A570" s="179"/>
      <c r="B570" s="188"/>
      <c r="C570" s="189"/>
      <c r="D570" s="188"/>
      <c r="E570" s="188"/>
      <c r="F570" s="188"/>
      <c r="G570" s="188"/>
      <c r="H570" s="188"/>
      <c r="I570" s="188"/>
      <c r="J570" s="188"/>
      <c r="K570" s="182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</row>
    <row r="571" spans="1:25" ht="15.6" x14ac:dyDescent="0.3">
      <c r="A571" s="179"/>
      <c r="B571" s="188"/>
      <c r="C571" s="189"/>
      <c r="D571" s="188"/>
      <c r="E571" s="188"/>
      <c r="F571" s="188"/>
      <c r="G571" s="188"/>
      <c r="H571" s="188"/>
      <c r="I571" s="188"/>
      <c r="J571" s="188"/>
      <c r="K571" s="182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</row>
    <row r="572" spans="1:25" ht="15.6" x14ac:dyDescent="0.3">
      <c r="A572" s="179"/>
      <c r="B572" s="188"/>
      <c r="C572" s="189"/>
      <c r="D572" s="188"/>
      <c r="E572" s="188"/>
      <c r="F572" s="188"/>
      <c r="G572" s="188"/>
      <c r="H572" s="188"/>
      <c r="I572" s="188"/>
      <c r="J572" s="188"/>
      <c r="K572" s="182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</row>
    <row r="573" spans="1:25" ht="15.6" x14ac:dyDescent="0.3">
      <c r="A573" s="179"/>
      <c r="B573" s="188"/>
      <c r="C573" s="189"/>
      <c r="D573" s="188"/>
      <c r="E573" s="188"/>
      <c r="F573" s="188"/>
      <c r="G573" s="188"/>
      <c r="H573" s="188"/>
      <c r="I573" s="188"/>
      <c r="J573" s="188"/>
      <c r="K573" s="182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</row>
    <row r="574" spans="1:25" ht="15.6" x14ac:dyDescent="0.3">
      <c r="A574" s="179"/>
      <c r="B574" s="188"/>
      <c r="C574" s="189"/>
      <c r="D574" s="188"/>
      <c r="E574" s="188"/>
      <c r="F574" s="188"/>
      <c r="G574" s="188"/>
      <c r="H574" s="188"/>
      <c r="I574" s="188"/>
      <c r="J574" s="188"/>
      <c r="K574" s="182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</row>
    <row r="575" spans="1:25" ht="15.6" x14ac:dyDescent="0.3">
      <c r="A575" s="179"/>
      <c r="B575" s="188"/>
      <c r="C575" s="189"/>
      <c r="D575" s="188"/>
      <c r="E575" s="188"/>
      <c r="F575" s="188"/>
      <c r="G575" s="188"/>
      <c r="H575" s="188"/>
      <c r="I575" s="188"/>
      <c r="J575" s="188"/>
      <c r="K575" s="182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</row>
    <row r="576" spans="1:25" ht="15.6" x14ac:dyDescent="0.3">
      <c r="A576" s="179"/>
      <c r="B576" s="188"/>
      <c r="C576" s="189"/>
      <c r="D576" s="188"/>
      <c r="E576" s="188"/>
      <c r="F576" s="188"/>
      <c r="G576" s="188"/>
      <c r="H576" s="188"/>
      <c r="I576" s="188"/>
      <c r="J576" s="188"/>
      <c r="K576" s="182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</row>
    <row r="577" spans="1:25" ht="15.6" x14ac:dyDescent="0.3">
      <c r="A577" s="179"/>
      <c r="B577" s="188"/>
      <c r="C577" s="189"/>
      <c r="D577" s="188"/>
      <c r="E577" s="188"/>
      <c r="F577" s="188"/>
      <c r="G577" s="188"/>
      <c r="H577" s="188"/>
      <c r="I577" s="188"/>
      <c r="J577" s="188"/>
      <c r="K577" s="182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</row>
    <row r="578" spans="1:25" ht="15.6" x14ac:dyDescent="0.3">
      <c r="A578" s="179"/>
      <c r="B578" s="188"/>
      <c r="C578" s="189"/>
      <c r="D578" s="188"/>
      <c r="E578" s="188"/>
      <c r="F578" s="188"/>
      <c r="G578" s="188"/>
      <c r="H578" s="188"/>
      <c r="I578" s="188"/>
      <c r="J578" s="188"/>
      <c r="K578" s="182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</row>
    <row r="579" spans="1:25" ht="15.6" x14ac:dyDescent="0.3">
      <c r="A579" s="179"/>
      <c r="B579" s="188"/>
      <c r="C579" s="189"/>
      <c r="D579" s="188"/>
      <c r="E579" s="188"/>
      <c r="F579" s="188"/>
      <c r="G579" s="188"/>
      <c r="H579" s="188"/>
      <c r="I579" s="188"/>
      <c r="J579" s="188"/>
      <c r="K579" s="182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</row>
    <row r="580" spans="1:25" ht="15.6" x14ac:dyDescent="0.3">
      <c r="A580" s="179"/>
      <c r="B580" s="188"/>
      <c r="C580" s="189"/>
      <c r="D580" s="188"/>
      <c r="E580" s="188"/>
      <c r="F580" s="188"/>
      <c r="G580" s="188"/>
      <c r="H580" s="188"/>
      <c r="I580" s="188"/>
      <c r="J580" s="188"/>
      <c r="K580" s="182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</row>
    <row r="581" spans="1:25" ht="15.6" x14ac:dyDescent="0.3">
      <c r="A581" s="179"/>
      <c r="B581" s="188"/>
      <c r="C581" s="189"/>
      <c r="D581" s="188"/>
      <c r="E581" s="188"/>
      <c r="F581" s="188"/>
      <c r="G581" s="188"/>
      <c r="H581" s="188"/>
      <c r="I581" s="188"/>
      <c r="J581" s="188"/>
      <c r="K581" s="182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</row>
    <row r="582" spans="1:25" ht="15.6" x14ac:dyDescent="0.3">
      <c r="A582" s="179"/>
      <c r="B582" s="188"/>
      <c r="C582" s="189"/>
      <c r="D582" s="188"/>
      <c r="E582" s="188"/>
      <c r="F582" s="188"/>
      <c r="G582" s="188"/>
      <c r="H582" s="188"/>
      <c r="I582" s="188"/>
      <c r="J582" s="188"/>
      <c r="K582" s="182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</row>
    <row r="583" spans="1:25" ht="15.6" x14ac:dyDescent="0.3">
      <c r="A583" s="179"/>
      <c r="B583" s="188"/>
      <c r="C583" s="189"/>
      <c r="D583" s="188"/>
      <c r="E583" s="188"/>
      <c r="F583" s="188"/>
      <c r="G583" s="188"/>
      <c r="H583" s="188"/>
      <c r="I583" s="188"/>
      <c r="J583" s="188"/>
      <c r="K583" s="182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</row>
    <row r="584" spans="1:25" ht="15.6" x14ac:dyDescent="0.3">
      <c r="A584" s="179"/>
      <c r="B584" s="188"/>
      <c r="C584" s="189"/>
      <c r="D584" s="188"/>
      <c r="E584" s="188"/>
      <c r="F584" s="188"/>
      <c r="G584" s="188"/>
      <c r="H584" s="188"/>
      <c r="I584" s="188"/>
      <c r="J584" s="188"/>
      <c r="K584" s="182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</row>
    <row r="585" spans="1:25" ht="15.6" x14ac:dyDescent="0.3">
      <c r="A585" s="179"/>
      <c r="B585" s="188"/>
      <c r="C585" s="189"/>
      <c r="D585" s="188"/>
      <c r="E585" s="188"/>
      <c r="F585" s="188"/>
      <c r="G585" s="188"/>
      <c r="H585" s="188"/>
      <c r="I585" s="188"/>
      <c r="J585" s="188"/>
      <c r="K585" s="182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</row>
    <row r="586" spans="1:25" ht="15.6" x14ac:dyDescent="0.3">
      <c r="A586" s="179"/>
      <c r="B586" s="188"/>
      <c r="C586" s="189"/>
      <c r="D586" s="188"/>
      <c r="E586" s="188"/>
      <c r="F586" s="188"/>
      <c r="G586" s="188"/>
      <c r="H586" s="188"/>
      <c r="I586" s="188"/>
      <c r="J586" s="188"/>
      <c r="K586" s="182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</row>
    <row r="587" spans="1:25" ht="15.6" x14ac:dyDescent="0.3">
      <c r="A587" s="179"/>
      <c r="B587" s="188"/>
      <c r="C587" s="189"/>
      <c r="D587" s="188"/>
      <c r="E587" s="188"/>
      <c r="F587" s="188"/>
      <c r="G587" s="188"/>
      <c r="H587" s="188"/>
      <c r="I587" s="188"/>
      <c r="J587" s="188"/>
      <c r="K587" s="182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</row>
    <row r="588" spans="1:25" ht="15.6" x14ac:dyDescent="0.3">
      <c r="A588" s="179"/>
      <c r="B588" s="188"/>
      <c r="C588" s="189"/>
      <c r="D588" s="188"/>
      <c r="E588" s="188"/>
      <c r="F588" s="188"/>
      <c r="G588" s="188"/>
      <c r="H588" s="188"/>
      <c r="I588" s="188"/>
      <c r="J588" s="188"/>
      <c r="K588" s="182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</row>
    <row r="589" spans="1:25" ht="15.6" x14ac:dyDescent="0.3">
      <c r="A589" s="179"/>
      <c r="B589" s="188"/>
      <c r="C589" s="189"/>
      <c r="D589" s="188"/>
      <c r="E589" s="188"/>
      <c r="F589" s="188"/>
      <c r="G589" s="188"/>
      <c r="H589" s="188"/>
      <c r="I589" s="188"/>
      <c r="J589" s="188"/>
      <c r="K589" s="182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</row>
    <row r="590" spans="1:25" ht="15.6" x14ac:dyDescent="0.3">
      <c r="A590" s="179"/>
      <c r="B590" s="188"/>
      <c r="C590" s="189"/>
      <c r="D590" s="188"/>
      <c r="E590" s="188"/>
      <c r="F590" s="188"/>
      <c r="G590" s="188"/>
      <c r="H590" s="188"/>
      <c r="I590" s="188"/>
      <c r="J590" s="188"/>
      <c r="K590" s="182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</row>
    <row r="591" spans="1:25" ht="15.6" x14ac:dyDescent="0.3">
      <c r="A591" s="179"/>
      <c r="B591" s="188"/>
      <c r="C591" s="189"/>
      <c r="D591" s="188"/>
      <c r="E591" s="188"/>
      <c r="F591" s="188"/>
      <c r="G591" s="188"/>
      <c r="H591" s="188"/>
      <c r="I591" s="188"/>
      <c r="J591" s="188"/>
      <c r="K591" s="182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</row>
    <row r="592" spans="1:25" ht="15.6" x14ac:dyDescent="0.3">
      <c r="A592" s="179"/>
      <c r="B592" s="188"/>
      <c r="C592" s="189"/>
      <c r="D592" s="188"/>
      <c r="E592" s="188"/>
      <c r="F592" s="188"/>
      <c r="G592" s="188"/>
      <c r="H592" s="188"/>
      <c r="I592" s="188"/>
      <c r="J592" s="188"/>
      <c r="K592" s="182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</row>
    <row r="593" spans="1:25" ht="15.6" x14ac:dyDescent="0.3">
      <c r="A593" s="179"/>
      <c r="B593" s="188"/>
      <c r="C593" s="189"/>
      <c r="D593" s="188"/>
      <c r="E593" s="188"/>
      <c r="F593" s="188"/>
      <c r="G593" s="188"/>
      <c r="H593" s="188"/>
      <c r="I593" s="188"/>
      <c r="J593" s="188"/>
      <c r="K593" s="182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</row>
    <row r="594" spans="1:25" ht="15.6" x14ac:dyDescent="0.3">
      <c r="A594" s="179"/>
      <c r="B594" s="188"/>
      <c r="C594" s="189"/>
      <c r="D594" s="188"/>
      <c r="E594" s="188"/>
      <c r="F594" s="188"/>
      <c r="G594" s="188"/>
      <c r="H594" s="188"/>
      <c r="I594" s="188"/>
      <c r="J594" s="188"/>
      <c r="K594" s="182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</row>
    <row r="595" spans="1:25" ht="15.6" x14ac:dyDescent="0.3">
      <c r="A595" s="179"/>
      <c r="B595" s="188"/>
      <c r="C595" s="189"/>
      <c r="D595" s="188"/>
      <c r="E595" s="188"/>
      <c r="F595" s="188"/>
      <c r="G595" s="188"/>
      <c r="H595" s="188"/>
      <c r="I595" s="188"/>
      <c r="J595" s="188"/>
      <c r="K595" s="182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</row>
    <row r="596" spans="1:25" ht="15.6" x14ac:dyDescent="0.3">
      <c r="A596" s="179"/>
      <c r="B596" s="188"/>
      <c r="C596" s="189"/>
      <c r="D596" s="188"/>
      <c r="E596" s="188"/>
      <c r="F596" s="188"/>
      <c r="G596" s="188"/>
      <c r="H596" s="188"/>
      <c r="I596" s="188"/>
      <c r="J596" s="188"/>
      <c r="K596" s="182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</row>
    <row r="597" spans="1:25" ht="15.6" x14ac:dyDescent="0.3">
      <c r="A597" s="179"/>
      <c r="B597" s="188"/>
      <c r="C597" s="189"/>
      <c r="D597" s="188"/>
      <c r="E597" s="188"/>
      <c r="F597" s="188"/>
      <c r="G597" s="188"/>
      <c r="H597" s="188"/>
      <c r="I597" s="188"/>
      <c r="J597" s="188"/>
      <c r="K597" s="182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</row>
    <row r="598" spans="1:25" ht="15.6" x14ac:dyDescent="0.3">
      <c r="A598" s="179"/>
      <c r="B598" s="188"/>
      <c r="C598" s="189"/>
      <c r="D598" s="188"/>
      <c r="E598" s="188"/>
      <c r="F598" s="188"/>
      <c r="G598" s="188"/>
      <c r="H598" s="188"/>
      <c r="I598" s="188"/>
      <c r="J598" s="188"/>
      <c r="K598" s="182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</row>
    <row r="599" spans="1:25" ht="15.6" x14ac:dyDescent="0.3">
      <c r="A599" s="179"/>
      <c r="B599" s="188"/>
      <c r="C599" s="189"/>
      <c r="D599" s="188"/>
      <c r="E599" s="188"/>
      <c r="F599" s="188"/>
      <c r="G599" s="188"/>
      <c r="H599" s="188"/>
      <c r="I599" s="188"/>
      <c r="J599" s="188"/>
      <c r="K599" s="182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</row>
    <row r="600" spans="1:25" ht="15.6" x14ac:dyDescent="0.3">
      <c r="A600" s="179"/>
      <c r="B600" s="188"/>
      <c r="C600" s="189"/>
      <c r="D600" s="188"/>
      <c r="E600" s="188"/>
      <c r="F600" s="188"/>
      <c r="G600" s="188"/>
      <c r="H600" s="188"/>
      <c r="I600" s="188"/>
      <c r="J600" s="188"/>
      <c r="K600" s="182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</row>
    <row r="601" spans="1:25" ht="15.6" x14ac:dyDescent="0.3">
      <c r="A601" s="179"/>
      <c r="B601" s="188"/>
      <c r="C601" s="189"/>
      <c r="D601" s="188"/>
      <c r="E601" s="188"/>
      <c r="F601" s="188"/>
      <c r="G601" s="188"/>
      <c r="H601" s="188"/>
      <c r="I601" s="188"/>
      <c r="J601" s="188"/>
      <c r="K601" s="182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</row>
    <row r="602" spans="1:25" ht="15.6" x14ac:dyDescent="0.3">
      <c r="A602" s="179"/>
      <c r="B602" s="188"/>
      <c r="C602" s="189"/>
      <c r="D602" s="188"/>
      <c r="E602" s="188"/>
      <c r="F602" s="188"/>
      <c r="G602" s="188"/>
      <c r="H602" s="188"/>
      <c r="I602" s="188"/>
      <c r="J602" s="188"/>
      <c r="K602" s="182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</row>
    <row r="603" spans="1:25" ht="15.6" x14ac:dyDescent="0.3">
      <c r="A603" s="179"/>
      <c r="B603" s="188"/>
      <c r="C603" s="189"/>
      <c r="D603" s="188"/>
      <c r="E603" s="188"/>
      <c r="F603" s="188"/>
      <c r="G603" s="188"/>
      <c r="H603" s="188"/>
      <c r="I603" s="188"/>
      <c r="J603" s="188"/>
      <c r="K603" s="182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</row>
    <row r="604" spans="1:25" ht="15.6" x14ac:dyDescent="0.3">
      <c r="A604" s="179"/>
      <c r="B604" s="188"/>
      <c r="C604" s="189"/>
      <c r="D604" s="188"/>
      <c r="E604" s="188"/>
      <c r="F604" s="188"/>
      <c r="G604" s="188"/>
      <c r="H604" s="188"/>
      <c r="I604" s="188"/>
      <c r="J604" s="188"/>
      <c r="K604" s="182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</row>
    <row r="605" spans="1:25" ht="15.6" x14ac:dyDescent="0.3">
      <c r="A605" s="179"/>
      <c r="B605" s="188"/>
      <c r="C605" s="189"/>
      <c r="D605" s="188"/>
      <c r="E605" s="188"/>
      <c r="F605" s="188"/>
      <c r="G605" s="188"/>
      <c r="H605" s="188"/>
      <c r="I605" s="188"/>
      <c r="J605" s="188"/>
      <c r="K605" s="182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</row>
    <row r="606" spans="1:25" ht="15.6" x14ac:dyDescent="0.3">
      <c r="A606" s="179"/>
      <c r="B606" s="188"/>
      <c r="C606" s="189"/>
      <c r="D606" s="188"/>
      <c r="E606" s="188"/>
      <c r="F606" s="188"/>
      <c r="G606" s="188"/>
      <c r="H606" s="188"/>
      <c r="I606" s="188"/>
      <c r="J606" s="188"/>
      <c r="K606" s="182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</row>
    <row r="607" spans="1:25" ht="15.6" x14ac:dyDescent="0.3">
      <c r="A607" s="179"/>
      <c r="B607" s="188"/>
      <c r="C607" s="189"/>
      <c r="D607" s="188"/>
      <c r="E607" s="188"/>
      <c r="F607" s="188"/>
      <c r="G607" s="188"/>
      <c r="H607" s="188"/>
      <c r="I607" s="188"/>
      <c r="J607" s="188"/>
      <c r="K607" s="182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</row>
    <row r="608" spans="1:25" ht="15.6" x14ac:dyDescent="0.3">
      <c r="A608" s="179"/>
      <c r="B608" s="188"/>
      <c r="C608" s="189"/>
      <c r="D608" s="188"/>
      <c r="E608" s="188"/>
      <c r="F608" s="188"/>
      <c r="G608" s="188"/>
      <c r="H608" s="188"/>
      <c r="I608" s="188"/>
      <c r="J608" s="188"/>
      <c r="K608" s="182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</row>
    <row r="609" spans="1:25" ht="15.6" x14ac:dyDescent="0.3">
      <c r="A609" s="179"/>
      <c r="B609" s="188"/>
      <c r="C609" s="189"/>
      <c r="D609" s="188"/>
      <c r="E609" s="188"/>
      <c r="F609" s="188"/>
      <c r="G609" s="188"/>
      <c r="H609" s="188"/>
      <c r="I609" s="188"/>
      <c r="J609" s="188"/>
      <c r="K609" s="182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</row>
    <row r="610" spans="1:25" ht="15.6" x14ac:dyDescent="0.3">
      <c r="A610" s="179"/>
      <c r="B610" s="188"/>
      <c r="C610" s="189"/>
      <c r="D610" s="188"/>
      <c r="E610" s="188"/>
      <c r="F610" s="188"/>
      <c r="G610" s="188"/>
      <c r="H610" s="188"/>
      <c r="I610" s="188"/>
      <c r="J610" s="188"/>
      <c r="K610" s="182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</row>
    <row r="611" spans="1:25" ht="15.6" x14ac:dyDescent="0.3">
      <c r="A611" s="179"/>
      <c r="B611" s="188"/>
      <c r="C611" s="189"/>
      <c r="D611" s="188"/>
      <c r="E611" s="188"/>
      <c r="F611" s="188"/>
      <c r="G611" s="188"/>
      <c r="H611" s="188"/>
      <c r="I611" s="188"/>
      <c r="J611" s="188"/>
      <c r="K611" s="182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</row>
    <row r="612" spans="1:25" ht="15.6" x14ac:dyDescent="0.3">
      <c r="A612" s="179"/>
      <c r="B612" s="188"/>
      <c r="C612" s="189"/>
      <c r="D612" s="188"/>
      <c r="E612" s="188"/>
      <c r="F612" s="188"/>
      <c r="G612" s="188"/>
      <c r="H612" s="188"/>
      <c r="I612" s="188"/>
      <c r="J612" s="188"/>
      <c r="K612" s="182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</row>
    <row r="613" spans="1:25" ht="15.6" x14ac:dyDescent="0.3">
      <c r="A613" s="179"/>
      <c r="B613" s="188"/>
      <c r="C613" s="189"/>
      <c r="D613" s="188"/>
      <c r="E613" s="188"/>
      <c r="F613" s="188"/>
      <c r="G613" s="188"/>
      <c r="H613" s="188"/>
      <c r="I613" s="188"/>
      <c r="J613" s="188"/>
      <c r="K613" s="182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</row>
    <row r="614" spans="1:25" ht="15.6" x14ac:dyDescent="0.3">
      <c r="A614" s="179"/>
      <c r="B614" s="188"/>
      <c r="C614" s="189"/>
      <c r="D614" s="188"/>
      <c r="E614" s="188"/>
      <c r="F614" s="188"/>
      <c r="G614" s="188"/>
      <c r="H614" s="188"/>
      <c r="I614" s="188"/>
      <c r="J614" s="188"/>
      <c r="K614" s="182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</row>
    <row r="615" spans="1:25" ht="15.6" x14ac:dyDescent="0.3">
      <c r="A615" s="179"/>
      <c r="B615" s="188"/>
      <c r="C615" s="189"/>
      <c r="D615" s="188"/>
      <c r="E615" s="188"/>
      <c r="F615" s="188"/>
      <c r="G615" s="188"/>
      <c r="H615" s="188"/>
      <c r="I615" s="188"/>
      <c r="J615" s="188"/>
      <c r="K615" s="182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</row>
    <row r="616" spans="1:25" ht="15.6" x14ac:dyDescent="0.3">
      <c r="A616" s="179"/>
      <c r="B616" s="188"/>
      <c r="C616" s="189"/>
      <c r="D616" s="188"/>
      <c r="E616" s="188"/>
      <c r="F616" s="188"/>
      <c r="G616" s="188"/>
      <c r="H616" s="188"/>
      <c r="I616" s="188"/>
      <c r="J616" s="188"/>
      <c r="K616" s="182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</row>
    <row r="617" spans="1:25" ht="15.6" x14ac:dyDescent="0.3">
      <c r="A617" s="179"/>
      <c r="B617" s="188"/>
      <c r="C617" s="189"/>
      <c r="D617" s="188"/>
      <c r="E617" s="188"/>
      <c r="F617" s="188"/>
      <c r="G617" s="188"/>
      <c r="H617" s="188"/>
      <c r="I617" s="188"/>
      <c r="J617" s="188"/>
      <c r="K617" s="182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</row>
    <row r="618" spans="1:25" ht="15.6" x14ac:dyDescent="0.3">
      <c r="A618" s="179"/>
      <c r="B618" s="188"/>
      <c r="C618" s="189"/>
      <c r="D618" s="188"/>
      <c r="E618" s="188"/>
      <c r="F618" s="188"/>
      <c r="G618" s="188"/>
      <c r="H618" s="188"/>
      <c r="I618" s="188"/>
      <c r="J618" s="188"/>
      <c r="K618" s="182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</row>
    <row r="619" spans="1:25" ht="15.6" x14ac:dyDescent="0.3">
      <c r="A619" s="179"/>
      <c r="B619" s="188"/>
      <c r="C619" s="189"/>
      <c r="D619" s="188"/>
      <c r="E619" s="188"/>
      <c r="F619" s="188"/>
      <c r="G619" s="188"/>
      <c r="H619" s="188"/>
      <c r="I619" s="188"/>
      <c r="J619" s="188"/>
      <c r="K619" s="182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</row>
    <row r="620" spans="1:25" ht="15.6" x14ac:dyDescent="0.3">
      <c r="A620" s="179"/>
      <c r="B620" s="188"/>
      <c r="C620" s="189"/>
      <c r="D620" s="188"/>
      <c r="E620" s="188"/>
      <c r="F620" s="188"/>
      <c r="G620" s="188"/>
      <c r="H620" s="188"/>
      <c r="I620" s="188"/>
      <c r="J620" s="188"/>
      <c r="K620" s="182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</row>
    <row r="621" spans="1:25" ht="15.6" x14ac:dyDescent="0.3">
      <c r="A621" s="179"/>
      <c r="B621" s="188"/>
      <c r="C621" s="189"/>
      <c r="D621" s="188"/>
      <c r="E621" s="188"/>
      <c r="F621" s="188"/>
      <c r="G621" s="188"/>
      <c r="H621" s="188"/>
      <c r="I621" s="188"/>
      <c r="J621" s="188"/>
      <c r="K621" s="182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</row>
    <row r="622" spans="1:25" ht="15.6" x14ac:dyDescent="0.3">
      <c r="A622" s="179"/>
      <c r="B622" s="188"/>
      <c r="C622" s="189"/>
      <c r="D622" s="188"/>
      <c r="E622" s="188"/>
      <c r="F622" s="188"/>
      <c r="G622" s="188"/>
      <c r="H622" s="188"/>
      <c r="I622" s="188"/>
      <c r="J622" s="188"/>
      <c r="K622" s="182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</row>
    <row r="623" spans="1:25" ht="15.6" x14ac:dyDescent="0.3">
      <c r="A623" s="179"/>
      <c r="B623" s="188"/>
      <c r="C623" s="189"/>
      <c r="D623" s="188"/>
      <c r="E623" s="188"/>
      <c r="F623" s="188"/>
      <c r="G623" s="188"/>
      <c r="H623" s="188"/>
      <c r="I623" s="188"/>
      <c r="J623" s="188"/>
      <c r="K623" s="182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</row>
    <row r="624" spans="1:25" ht="15.6" x14ac:dyDescent="0.3">
      <c r="A624" s="179"/>
      <c r="B624" s="188"/>
      <c r="C624" s="189"/>
      <c r="D624" s="188"/>
      <c r="E624" s="188"/>
      <c r="F624" s="188"/>
      <c r="G624" s="188"/>
      <c r="H624" s="188"/>
      <c r="I624" s="188"/>
      <c r="J624" s="188"/>
      <c r="K624" s="182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</row>
    <row r="625" spans="1:25" ht="15.6" x14ac:dyDescent="0.3">
      <c r="A625" s="179"/>
      <c r="B625" s="188"/>
      <c r="C625" s="189"/>
      <c r="D625" s="188"/>
      <c r="E625" s="188"/>
      <c r="F625" s="188"/>
      <c r="G625" s="188"/>
      <c r="H625" s="188"/>
      <c r="I625" s="188"/>
      <c r="J625" s="188"/>
      <c r="K625" s="182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</row>
    <row r="626" spans="1:25" ht="15.6" x14ac:dyDescent="0.3">
      <c r="A626" s="179"/>
      <c r="B626" s="188"/>
      <c r="C626" s="189"/>
      <c r="D626" s="188"/>
      <c r="E626" s="188"/>
      <c r="F626" s="188"/>
      <c r="G626" s="188"/>
      <c r="H626" s="188"/>
      <c r="I626" s="188"/>
      <c r="J626" s="188"/>
      <c r="K626" s="182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</row>
    <row r="627" spans="1:25" ht="15.6" x14ac:dyDescent="0.3">
      <c r="A627" s="179"/>
      <c r="B627" s="188"/>
      <c r="C627" s="189"/>
      <c r="D627" s="188"/>
      <c r="E627" s="188"/>
      <c r="F627" s="188"/>
      <c r="G627" s="188"/>
      <c r="H627" s="188"/>
      <c r="I627" s="188"/>
      <c r="J627" s="188"/>
      <c r="K627" s="182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</row>
    <row r="628" spans="1:25" ht="15.6" x14ac:dyDescent="0.3">
      <c r="A628" s="179"/>
      <c r="B628" s="188"/>
      <c r="C628" s="189"/>
      <c r="D628" s="188"/>
      <c r="E628" s="188"/>
      <c r="F628" s="188"/>
      <c r="G628" s="188"/>
      <c r="H628" s="188"/>
      <c r="I628" s="188"/>
      <c r="J628" s="188"/>
      <c r="K628" s="182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</row>
    <row r="629" spans="1:25" ht="15.6" x14ac:dyDescent="0.3">
      <c r="A629" s="179"/>
      <c r="B629" s="188"/>
      <c r="C629" s="189"/>
      <c r="D629" s="188"/>
      <c r="E629" s="188"/>
      <c r="F629" s="188"/>
      <c r="G629" s="188"/>
      <c r="H629" s="188"/>
      <c r="I629" s="188"/>
      <c r="J629" s="188"/>
      <c r="K629" s="182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</row>
    <row r="630" spans="1:25" ht="15.6" x14ac:dyDescent="0.3">
      <c r="A630" s="179"/>
      <c r="B630" s="188"/>
      <c r="C630" s="189"/>
      <c r="D630" s="188"/>
      <c r="E630" s="188"/>
      <c r="F630" s="188"/>
      <c r="G630" s="188"/>
      <c r="H630" s="188"/>
      <c r="I630" s="188"/>
      <c r="J630" s="188"/>
      <c r="K630" s="182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</row>
    <row r="631" spans="1:25" ht="15.6" x14ac:dyDescent="0.3">
      <c r="A631" s="179"/>
      <c r="B631" s="188"/>
      <c r="C631" s="189"/>
      <c r="D631" s="188"/>
      <c r="E631" s="188"/>
      <c r="F631" s="188"/>
      <c r="G631" s="188"/>
      <c r="H631" s="188"/>
      <c r="I631" s="188"/>
      <c r="J631" s="188"/>
      <c r="K631" s="182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</row>
    <row r="632" spans="1:25" ht="15.6" x14ac:dyDescent="0.3">
      <c r="A632" s="179"/>
      <c r="B632" s="188"/>
      <c r="C632" s="189"/>
      <c r="D632" s="188"/>
      <c r="E632" s="188"/>
      <c r="F632" s="188"/>
      <c r="G632" s="188"/>
      <c r="H632" s="188"/>
      <c r="I632" s="188"/>
      <c r="J632" s="188"/>
      <c r="K632" s="182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</row>
    <row r="633" spans="1:25" ht="15.6" x14ac:dyDescent="0.3">
      <c r="A633" s="179"/>
      <c r="B633" s="188"/>
      <c r="C633" s="189"/>
      <c r="D633" s="188"/>
      <c r="E633" s="188"/>
      <c r="F633" s="188"/>
      <c r="G633" s="188"/>
      <c r="H633" s="188"/>
      <c r="I633" s="188"/>
      <c r="J633" s="188"/>
      <c r="K633" s="182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</row>
    <row r="634" spans="1:25" ht="15.6" x14ac:dyDescent="0.3">
      <c r="A634" s="179"/>
      <c r="B634" s="188"/>
      <c r="C634" s="189"/>
      <c r="D634" s="188"/>
      <c r="E634" s="188"/>
      <c r="F634" s="188"/>
      <c r="G634" s="188"/>
      <c r="H634" s="188"/>
      <c r="I634" s="188"/>
      <c r="J634" s="188"/>
      <c r="K634" s="182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</row>
    <row r="635" spans="1:25" ht="15.6" x14ac:dyDescent="0.3">
      <c r="A635" s="179"/>
      <c r="B635" s="188"/>
      <c r="C635" s="189"/>
      <c r="D635" s="188"/>
      <c r="E635" s="188"/>
      <c r="F635" s="188"/>
      <c r="G635" s="188"/>
      <c r="H635" s="188"/>
      <c r="I635" s="188"/>
      <c r="J635" s="188"/>
      <c r="K635" s="182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</row>
    <row r="636" spans="1:25" ht="15.6" x14ac:dyDescent="0.3">
      <c r="A636" s="179"/>
      <c r="B636" s="188"/>
      <c r="C636" s="189"/>
      <c r="D636" s="188"/>
      <c r="E636" s="188"/>
      <c r="F636" s="188"/>
      <c r="G636" s="188"/>
      <c r="H636" s="188"/>
      <c r="I636" s="188"/>
      <c r="J636" s="188"/>
      <c r="K636" s="182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</row>
    <row r="637" spans="1:25" ht="15.6" x14ac:dyDescent="0.3">
      <c r="A637" s="179"/>
      <c r="B637" s="188"/>
      <c r="C637" s="189"/>
      <c r="D637" s="188"/>
      <c r="E637" s="188"/>
      <c r="F637" s="188"/>
      <c r="G637" s="188"/>
      <c r="H637" s="188"/>
      <c r="I637" s="188"/>
      <c r="J637" s="188"/>
      <c r="K637" s="182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</row>
    <row r="638" spans="1:25" ht="15.6" x14ac:dyDescent="0.3">
      <c r="A638" s="179"/>
      <c r="B638" s="188"/>
      <c r="C638" s="189"/>
      <c r="D638" s="188"/>
      <c r="E638" s="188"/>
      <c r="F638" s="188"/>
      <c r="G638" s="188"/>
      <c r="H638" s="188"/>
      <c r="I638" s="188"/>
      <c r="J638" s="188"/>
      <c r="K638" s="182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</row>
    <row r="639" spans="1:25" ht="15.6" x14ac:dyDescent="0.3">
      <c r="A639" s="179"/>
      <c r="B639" s="188"/>
      <c r="C639" s="189"/>
      <c r="D639" s="188"/>
      <c r="E639" s="188"/>
      <c r="F639" s="188"/>
      <c r="G639" s="188"/>
      <c r="H639" s="188"/>
      <c r="I639" s="188"/>
      <c r="J639" s="188"/>
      <c r="K639" s="182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</row>
    <row r="640" spans="1:25" ht="15.6" x14ac:dyDescent="0.3">
      <c r="A640" s="179"/>
      <c r="B640" s="188"/>
      <c r="C640" s="189"/>
      <c r="D640" s="188"/>
      <c r="E640" s="188"/>
      <c r="F640" s="188"/>
      <c r="G640" s="188"/>
      <c r="H640" s="188"/>
      <c r="I640" s="188"/>
      <c r="J640" s="188"/>
      <c r="K640" s="182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</row>
    <row r="641" spans="1:25" ht="15.6" x14ac:dyDescent="0.3">
      <c r="A641" s="179"/>
      <c r="B641" s="188"/>
      <c r="C641" s="189"/>
      <c r="D641" s="188"/>
      <c r="E641" s="188"/>
      <c r="F641" s="188"/>
      <c r="G641" s="188"/>
      <c r="H641" s="188"/>
      <c r="I641" s="188"/>
      <c r="J641" s="188"/>
      <c r="K641" s="182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</row>
    <row r="642" spans="1:25" ht="15.6" x14ac:dyDescent="0.3">
      <c r="A642" s="179"/>
      <c r="B642" s="188"/>
      <c r="C642" s="189"/>
      <c r="D642" s="188"/>
      <c r="E642" s="188"/>
      <c r="F642" s="188"/>
      <c r="G642" s="188"/>
      <c r="H642" s="188"/>
      <c r="I642" s="188"/>
      <c r="J642" s="188"/>
      <c r="K642" s="182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</row>
    <row r="643" spans="1:25" ht="15.6" x14ac:dyDescent="0.3">
      <c r="A643" s="179"/>
      <c r="B643" s="188"/>
      <c r="C643" s="189"/>
      <c r="D643" s="188"/>
      <c r="E643" s="188"/>
      <c r="F643" s="188"/>
      <c r="G643" s="188"/>
      <c r="H643" s="188"/>
      <c r="I643" s="188"/>
      <c r="J643" s="188"/>
      <c r="K643" s="182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</row>
    <row r="644" spans="1:25" ht="15.6" x14ac:dyDescent="0.3">
      <c r="A644" s="179"/>
      <c r="B644" s="188"/>
      <c r="C644" s="189"/>
      <c r="D644" s="188"/>
      <c r="E644" s="188"/>
      <c r="F644" s="188"/>
      <c r="G644" s="188"/>
      <c r="H644" s="188"/>
      <c r="I644" s="188"/>
      <c r="J644" s="188"/>
      <c r="K644" s="182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</row>
    <row r="645" spans="1:25" ht="15.6" x14ac:dyDescent="0.3">
      <c r="A645" s="179"/>
      <c r="B645" s="188"/>
      <c r="C645" s="189"/>
      <c r="D645" s="188"/>
      <c r="E645" s="188"/>
      <c r="F645" s="188"/>
      <c r="G645" s="188"/>
      <c r="H645" s="188"/>
      <c r="I645" s="188"/>
      <c r="J645" s="188"/>
      <c r="K645" s="182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</row>
    <row r="646" spans="1:25" ht="15.6" x14ac:dyDescent="0.3">
      <c r="A646" s="179"/>
      <c r="B646" s="188"/>
      <c r="C646" s="189"/>
      <c r="D646" s="188"/>
      <c r="E646" s="188"/>
      <c r="F646" s="188"/>
      <c r="G646" s="188"/>
      <c r="H646" s="188"/>
      <c r="I646" s="188"/>
      <c r="J646" s="188"/>
      <c r="K646" s="182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</row>
    <row r="647" spans="1:25" ht="15.6" x14ac:dyDescent="0.3">
      <c r="A647" s="179"/>
      <c r="B647" s="188"/>
      <c r="C647" s="189"/>
      <c r="D647" s="188"/>
      <c r="E647" s="188"/>
      <c r="F647" s="188"/>
      <c r="G647" s="188"/>
      <c r="H647" s="188"/>
      <c r="I647" s="188"/>
      <c r="J647" s="188"/>
      <c r="K647" s="182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</row>
    <row r="648" spans="1:25" ht="15.6" x14ac:dyDescent="0.3">
      <c r="A648" s="179"/>
      <c r="B648" s="188"/>
      <c r="C648" s="189"/>
      <c r="D648" s="188"/>
      <c r="E648" s="188"/>
      <c r="F648" s="188"/>
      <c r="G648" s="188"/>
      <c r="H648" s="188"/>
      <c r="I648" s="188"/>
      <c r="J648" s="188"/>
      <c r="K648" s="182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</row>
    <row r="649" spans="1:25" ht="15.6" x14ac:dyDescent="0.3">
      <c r="A649" s="179"/>
      <c r="B649" s="188"/>
      <c r="C649" s="189"/>
      <c r="D649" s="188"/>
      <c r="E649" s="188"/>
      <c r="F649" s="188"/>
      <c r="G649" s="188"/>
      <c r="H649" s="188"/>
      <c r="I649" s="188"/>
      <c r="J649" s="188"/>
      <c r="K649" s="182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</row>
    <row r="650" spans="1:25" ht="15.6" x14ac:dyDescent="0.3">
      <c r="A650" s="179"/>
      <c r="B650" s="188"/>
      <c r="C650" s="189"/>
      <c r="D650" s="188"/>
      <c r="E650" s="188"/>
      <c r="F650" s="188"/>
      <c r="G650" s="188"/>
      <c r="H650" s="188"/>
      <c r="I650" s="188"/>
      <c r="J650" s="188"/>
      <c r="K650" s="182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</row>
    <row r="651" spans="1:25" ht="15.6" x14ac:dyDescent="0.3">
      <c r="A651" s="179"/>
      <c r="B651" s="188"/>
      <c r="C651" s="189"/>
      <c r="D651" s="188"/>
      <c r="E651" s="188"/>
      <c r="F651" s="188"/>
      <c r="G651" s="188"/>
      <c r="H651" s="188"/>
      <c r="I651" s="188"/>
      <c r="J651" s="188"/>
      <c r="K651" s="182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</row>
    <row r="652" spans="1:25" ht="15.6" x14ac:dyDescent="0.3">
      <c r="A652" s="179"/>
      <c r="B652" s="188"/>
      <c r="C652" s="189"/>
      <c r="D652" s="188"/>
      <c r="E652" s="188"/>
      <c r="F652" s="188"/>
      <c r="G652" s="188"/>
      <c r="H652" s="188"/>
      <c r="I652" s="188"/>
      <c r="J652" s="188"/>
      <c r="K652" s="182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</row>
    <row r="653" spans="1:25" ht="15.6" x14ac:dyDescent="0.3">
      <c r="A653" s="179"/>
      <c r="B653" s="188"/>
      <c r="C653" s="189"/>
      <c r="D653" s="188"/>
      <c r="E653" s="188"/>
      <c r="F653" s="188"/>
      <c r="G653" s="188"/>
      <c r="H653" s="188"/>
      <c r="I653" s="188"/>
      <c r="J653" s="188"/>
      <c r="K653" s="182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</row>
    <row r="654" spans="1:25" ht="15.6" x14ac:dyDescent="0.3">
      <c r="A654" s="179"/>
      <c r="B654" s="188"/>
      <c r="C654" s="189"/>
      <c r="D654" s="188"/>
      <c r="E654" s="188"/>
      <c r="F654" s="188"/>
      <c r="G654" s="188"/>
      <c r="H654" s="188"/>
      <c r="I654" s="188"/>
      <c r="J654" s="188"/>
      <c r="K654" s="182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</row>
    <row r="655" spans="1:25" ht="15.6" x14ac:dyDescent="0.3">
      <c r="A655" s="179"/>
      <c r="B655" s="188"/>
      <c r="C655" s="189"/>
      <c r="D655" s="188"/>
      <c r="E655" s="188"/>
      <c r="F655" s="188"/>
      <c r="G655" s="188"/>
      <c r="H655" s="188"/>
      <c r="I655" s="188"/>
      <c r="J655" s="188"/>
      <c r="K655" s="182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</row>
    <row r="656" spans="1:25" ht="15.6" x14ac:dyDescent="0.3">
      <c r="A656" s="179"/>
      <c r="B656" s="188"/>
      <c r="C656" s="189"/>
      <c r="D656" s="188"/>
      <c r="E656" s="188"/>
      <c r="F656" s="188"/>
      <c r="G656" s="188"/>
      <c r="H656" s="188"/>
      <c r="I656" s="188"/>
      <c r="J656" s="188"/>
      <c r="K656" s="182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</row>
    <row r="657" spans="1:25" ht="15.6" x14ac:dyDescent="0.3">
      <c r="A657" s="179"/>
      <c r="B657" s="188"/>
      <c r="C657" s="189"/>
      <c r="D657" s="188"/>
      <c r="E657" s="188"/>
      <c r="F657" s="188"/>
      <c r="G657" s="188"/>
      <c r="H657" s="188"/>
      <c r="I657" s="188"/>
      <c r="J657" s="188"/>
      <c r="K657" s="182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</row>
    <row r="658" spans="1:25" ht="15.6" x14ac:dyDescent="0.3">
      <c r="A658" s="179"/>
      <c r="B658" s="188"/>
      <c r="C658" s="189"/>
      <c r="D658" s="188"/>
      <c r="E658" s="188"/>
      <c r="F658" s="188"/>
      <c r="G658" s="188"/>
      <c r="H658" s="188"/>
      <c r="I658" s="188"/>
      <c r="J658" s="188"/>
      <c r="K658" s="182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</row>
    <row r="659" spans="1:25" ht="15.6" x14ac:dyDescent="0.3">
      <c r="A659" s="179"/>
      <c r="B659" s="188"/>
      <c r="C659" s="189"/>
      <c r="D659" s="188"/>
      <c r="E659" s="188"/>
      <c r="F659" s="188"/>
      <c r="G659" s="188"/>
      <c r="H659" s="188"/>
      <c r="I659" s="188"/>
      <c r="J659" s="188"/>
      <c r="K659" s="182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</row>
    <row r="660" spans="1:25" ht="15.6" x14ac:dyDescent="0.3">
      <c r="A660" s="179"/>
      <c r="B660" s="188"/>
      <c r="C660" s="189"/>
      <c r="D660" s="188"/>
      <c r="E660" s="188"/>
      <c r="F660" s="188"/>
      <c r="G660" s="188"/>
      <c r="H660" s="188"/>
      <c r="I660" s="188"/>
      <c r="J660" s="188"/>
      <c r="K660" s="182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</row>
    <row r="661" spans="1:25" ht="15.6" x14ac:dyDescent="0.3">
      <c r="A661" s="179"/>
      <c r="B661" s="188"/>
      <c r="C661" s="189"/>
      <c r="D661" s="188"/>
      <c r="E661" s="188"/>
      <c r="F661" s="188"/>
      <c r="G661" s="188"/>
      <c r="H661" s="188"/>
      <c r="I661" s="188"/>
      <c r="J661" s="188"/>
      <c r="K661" s="182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</row>
    <row r="662" spans="1:25" ht="15.6" x14ac:dyDescent="0.3">
      <c r="A662" s="179"/>
      <c r="B662" s="188"/>
      <c r="C662" s="189"/>
      <c r="D662" s="188"/>
      <c r="E662" s="188"/>
      <c r="F662" s="188"/>
      <c r="G662" s="188"/>
      <c r="H662" s="188"/>
      <c r="I662" s="188"/>
      <c r="J662" s="188"/>
      <c r="K662" s="182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</row>
    <row r="663" spans="1:25" ht="15.6" x14ac:dyDescent="0.3">
      <c r="A663" s="179"/>
      <c r="B663" s="188"/>
      <c r="C663" s="189"/>
      <c r="D663" s="188"/>
      <c r="E663" s="188"/>
      <c r="F663" s="188"/>
      <c r="G663" s="188"/>
      <c r="H663" s="188"/>
      <c r="I663" s="188"/>
      <c r="J663" s="188"/>
      <c r="K663" s="182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</row>
    <row r="664" spans="1:25" ht="15.6" x14ac:dyDescent="0.3">
      <c r="A664" s="179"/>
      <c r="B664" s="188"/>
      <c r="C664" s="189"/>
      <c r="D664" s="188"/>
      <c r="E664" s="188"/>
      <c r="F664" s="188"/>
      <c r="G664" s="188"/>
      <c r="H664" s="188"/>
      <c r="I664" s="188"/>
      <c r="J664" s="188"/>
      <c r="K664" s="182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</row>
    <row r="665" spans="1:25" ht="15.6" x14ac:dyDescent="0.3">
      <c r="A665" s="179"/>
      <c r="B665" s="188"/>
      <c r="C665" s="189"/>
      <c r="D665" s="188"/>
      <c r="E665" s="188"/>
      <c r="F665" s="188"/>
      <c r="G665" s="188"/>
      <c r="H665" s="188"/>
      <c r="I665" s="188"/>
      <c r="J665" s="188"/>
      <c r="K665" s="182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</row>
    <row r="666" spans="1:25" ht="15.6" x14ac:dyDescent="0.3">
      <c r="A666" s="179"/>
      <c r="B666" s="188"/>
      <c r="C666" s="189"/>
      <c r="D666" s="188"/>
      <c r="E666" s="188"/>
      <c r="F666" s="188"/>
      <c r="G666" s="188"/>
      <c r="H666" s="188"/>
      <c r="I666" s="188"/>
      <c r="J666" s="188"/>
      <c r="K666" s="182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</row>
    <row r="667" spans="1:25" ht="15.6" x14ac:dyDescent="0.3">
      <c r="A667" s="179"/>
      <c r="B667" s="188"/>
      <c r="C667" s="189"/>
      <c r="D667" s="188"/>
      <c r="E667" s="188"/>
      <c r="F667" s="188"/>
      <c r="G667" s="188"/>
      <c r="H667" s="188"/>
      <c r="I667" s="188"/>
      <c r="J667" s="188"/>
      <c r="K667" s="182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</row>
    <row r="668" spans="1:25" ht="15.6" x14ac:dyDescent="0.3">
      <c r="A668" s="179"/>
      <c r="B668" s="188"/>
      <c r="C668" s="189"/>
      <c r="D668" s="188"/>
      <c r="E668" s="188"/>
      <c r="F668" s="188"/>
      <c r="G668" s="188"/>
      <c r="H668" s="188"/>
      <c r="I668" s="188"/>
      <c r="J668" s="188"/>
      <c r="K668" s="182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</row>
    <row r="669" spans="1:25" ht="15.6" x14ac:dyDescent="0.3">
      <c r="A669" s="179"/>
      <c r="B669" s="188"/>
      <c r="C669" s="189"/>
      <c r="D669" s="188"/>
      <c r="E669" s="188"/>
      <c r="F669" s="188"/>
      <c r="G669" s="188"/>
      <c r="H669" s="188"/>
      <c r="I669" s="188"/>
      <c r="J669" s="188"/>
      <c r="K669" s="182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</row>
    <row r="670" spans="1:25" ht="15.6" x14ac:dyDescent="0.3">
      <c r="A670" s="179"/>
      <c r="B670" s="188"/>
      <c r="C670" s="189"/>
      <c r="D670" s="188"/>
      <c r="E670" s="188"/>
      <c r="F670" s="188"/>
      <c r="G670" s="188"/>
      <c r="H670" s="188"/>
      <c r="I670" s="188"/>
      <c r="J670" s="188"/>
      <c r="K670" s="182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</row>
    <row r="671" spans="1:25" ht="15.6" x14ac:dyDescent="0.3">
      <c r="A671" s="179"/>
      <c r="B671" s="188"/>
      <c r="C671" s="189"/>
      <c r="D671" s="188"/>
      <c r="E671" s="188"/>
      <c r="F671" s="188"/>
      <c r="G671" s="188"/>
      <c r="H671" s="188"/>
      <c r="I671" s="188"/>
      <c r="J671" s="188"/>
      <c r="K671" s="182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</row>
    <row r="672" spans="1:25" ht="15.6" x14ac:dyDescent="0.3">
      <c r="A672" s="179"/>
      <c r="B672" s="188"/>
      <c r="C672" s="189"/>
      <c r="D672" s="188"/>
      <c r="E672" s="188"/>
      <c r="F672" s="188"/>
      <c r="G672" s="188"/>
      <c r="H672" s="188"/>
      <c r="I672" s="188"/>
      <c r="J672" s="188"/>
      <c r="K672" s="182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</row>
    <row r="673" spans="1:25" ht="15.6" x14ac:dyDescent="0.3">
      <c r="A673" s="179"/>
      <c r="B673" s="188"/>
      <c r="C673" s="189"/>
      <c r="D673" s="188"/>
      <c r="E673" s="188"/>
      <c r="F673" s="188"/>
      <c r="G673" s="188"/>
      <c r="H673" s="188"/>
      <c r="I673" s="188"/>
      <c r="J673" s="188"/>
      <c r="K673" s="182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</row>
    <row r="674" spans="1:25" ht="15.6" x14ac:dyDescent="0.3">
      <c r="A674" s="179"/>
      <c r="B674" s="188"/>
      <c r="C674" s="189"/>
      <c r="D674" s="188"/>
      <c r="E674" s="188"/>
      <c r="F674" s="188"/>
      <c r="G674" s="188"/>
      <c r="H674" s="188"/>
      <c r="I674" s="188"/>
      <c r="J674" s="188"/>
      <c r="K674" s="182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</row>
    <row r="675" spans="1:25" ht="15.6" x14ac:dyDescent="0.3">
      <c r="A675" s="179"/>
      <c r="B675" s="188"/>
      <c r="C675" s="189"/>
      <c r="D675" s="188"/>
      <c r="E675" s="188"/>
      <c r="F675" s="188"/>
      <c r="G675" s="188"/>
      <c r="H675" s="188"/>
      <c r="I675" s="188"/>
      <c r="J675" s="188"/>
      <c r="K675" s="182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</row>
    <row r="676" spans="1:25" ht="15.6" x14ac:dyDescent="0.3">
      <c r="A676" s="179"/>
      <c r="B676" s="188"/>
      <c r="C676" s="189"/>
      <c r="D676" s="188"/>
      <c r="E676" s="188"/>
      <c r="F676" s="188"/>
      <c r="G676" s="188"/>
      <c r="H676" s="188"/>
      <c r="I676" s="188"/>
      <c r="J676" s="188"/>
      <c r="K676" s="182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</row>
    <row r="677" spans="1:25" ht="15.6" x14ac:dyDescent="0.3">
      <c r="A677" s="179"/>
      <c r="B677" s="188"/>
      <c r="C677" s="189"/>
      <c r="D677" s="188"/>
      <c r="E677" s="188"/>
      <c r="F677" s="188"/>
      <c r="G677" s="188"/>
      <c r="H677" s="188"/>
      <c r="I677" s="188"/>
      <c r="J677" s="188"/>
      <c r="K677" s="182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</row>
    <row r="678" spans="1:25" ht="15.6" x14ac:dyDescent="0.3">
      <c r="A678" s="179"/>
      <c r="B678" s="188"/>
      <c r="C678" s="189"/>
      <c r="D678" s="188"/>
      <c r="E678" s="188"/>
      <c r="F678" s="188"/>
      <c r="G678" s="188"/>
      <c r="H678" s="188"/>
      <c r="I678" s="188"/>
      <c r="J678" s="188"/>
      <c r="K678" s="182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</row>
    <row r="679" spans="1:25" ht="15.6" x14ac:dyDescent="0.3">
      <c r="A679" s="179"/>
      <c r="B679" s="188"/>
      <c r="C679" s="189"/>
      <c r="D679" s="188"/>
      <c r="E679" s="188"/>
      <c r="F679" s="188"/>
      <c r="G679" s="188"/>
      <c r="H679" s="188"/>
      <c r="I679" s="188"/>
      <c r="J679" s="188"/>
      <c r="K679" s="182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</row>
    <row r="680" spans="1:25" ht="15.6" x14ac:dyDescent="0.3">
      <c r="A680" s="179"/>
      <c r="B680" s="188"/>
      <c r="C680" s="189"/>
      <c r="D680" s="188"/>
      <c r="E680" s="188"/>
      <c r="F680" s="188"/>
      <c r="G680" s="188"/>
      <c r="H680" s="188"/>
      <c r="I680" s="188"/>
      <c r="J680" s="188"/>
      <c r="K680" s="182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</row>
    <row r="681" spans="1:25" ht="15.6" x14ac:dyDescent="0.3">
      <c r="A681" s="179"/>
      <c r="B681" s="188"/>
      <c r="C681" s="189"/>
      <c r="D681" s="188"/>
      <c r="E681" s="188"/>
      <c r="F681" s="188"/>
      <c r="G681" s="188"/>
      <c r="H681" s="188"/>
      <c r="I681" s="188"/>
      <c r="J681" s="188"/>
      <c r="K681" s="182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</row>
    <row r="682" spans="1:25" ht="15.6" x14ac:dyDescent="0.3">
      <c r="A682" s="179"/>
      <c r="B682" s="188"/>
      <c r="C682" s="189"/>
      <c r="D682" s="188"/>
      <c r="E682" s="188"/>
      <c r="F682" s="188"/>
      <c r="G682" s="188"/>
      <c r="H682" s="188"/>
      <c r="I682" s="188"/>
      <c r="J682" s="188"/>
      <c r="K682" s="182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</row>
    <row r="683" spans="1:25" ht="15.6" x14ac:dyDescent="0.3">
      <c r="A683" s="179"/>
      <c r="B683" s="188"/>
      <c r="C683" s="189"/>
      <c r="D683" s="188"/>
      <c r="E683" s="188"/>
      <c r="F683" s="188"/>
      <c r="G683" s="188"/>
      <c r="H683" s="188"/>
      <c r="I683" s="188"/>
      <c r="J683" s="188"/>
      <c r="K683" s="182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</row>
    <row r="684" spans="1:25" ht="15.6" x14ac:dyDescent="0.3">
      <c r="A684" s="179"/>
      <c r="B684" s="188"/>
      <c r="C684" s="189"/>
      <c r="D684" s="188"/>
      <c r="E684" s="188"/>
      <c r="F684" s="188"/>
      <c r="G684" s="188"/>
      <c r="H684" s="188"/>
      <c r="I684" s="188"/>
      <c r="J684" s="188"/>
      <c r="K684" s="182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</row>
    <row r="685" spans="1:25" ht="15.6" x14ac:dyDescent="0.3">
      <c r="A685" s="179"/>
      <c r="B685" s="188"/>
      <c r="C685" s="189"/>
      <c r="D685" s="188"/>
      <c r="E685" s="188"/>
      <c r="F685" s="188"/>
      <c r="G685" s="188"/>
      <c r="H685" s="188"/>
      <c r="I685" s="188"/>
      <c r="J685" s="188"/>
      <c r="K685" s="182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</row>
    <row r="686" spans="1:25" ht="15.6" x14ac:dyDescent="0.3">
      <c r="A686" s="179"/>
      <c r="B686" s="188"/>
      <c r="C686" s="189"/>
      <c r="D686" s="188"/>
      <c r="E686" s="188"/>
      <c r="F686" s="188"/>
      <c r="G686" s="188"/>
      <c r="H686" s="188"/>
      <c r="I686" s="188"/>
      <c r="J686" s="188"/>
      <c r="K686" s="182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</row>
    <row r="687" spans="1:25" ht="15.6" x14ac:dyDescent="0.3">
      <c r="A687" s="179"/>
      <c r="B687" s="188"/>
      <c r="C687" s="189"/>
      <c r="D687" s="188"/>
      <c r="E687" s="188"/>
      <c r="F687" s="188"/>
      <c r="G687" s="188"/>
      <c r="H687" s="188"/>
      <c r="I687" s="188"/>
      <c r="J687" s="188"/>
      <c r="K687" s="182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</row>
    <row r="688" spans="1:25" ht="15.6" x14ac:dyDescent="0.3">
      <c r="A688" s="179"/>
      <c r="B688" s="188"/>
      <c r="C688" s="189"/>
      <c r="D688" s="188"/>
      <c r="E688" s="188"/>
      <c r="F688" s="188"/>
      <c r="G688" s="188"/>
      <c r="H688" s="188"/>
      <c r="I688" s="188"/>
      <c r="J688" s="188"/>
      <c r="K688" s="182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</row>
    <row r="689" spans="1:25" ht="15.6" x14ac:dyDescent="0.3">
      <c r="A689" s="179"/>
      <c r="B689" s="188"/>
      <c r="C689" s="189"/>
      <c r="D689" s="188"/>
      <c r="E689" s="188"/>
      <c r="F689" s="188"/>
      <c r="G689" s="188"/>
      <c r="H689" s="188"/>
      <c r="I689" s="188"/>
      <c r="J689" s="188"/>
      <c r="K689" s="182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</row>
    <row r="690" spans="1:25" ht="15.6" x14ac:dyDescent="0.3">
      <c r="A690" s="179"/>
      <c r="B690" s="188"/>
      <c r="C690" s="189"/>
      <c r="D690" s="188"/>
      <c r="E690" s="188"/>
      <c r="F690" s="188"/>
      <c r="G690" s="188"/>
      <c r="H690" s="188"/>
      <c r="I690" s="188"/>
      <c r="J690" s="188"/>
      <c r="K690" s="182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</row>
    <row r="691" spans="1:25" ht="15.6" x14ac:dyDescent="0.3">
      <c r="A691" s="179"/>
      <c r="B691" s="188"/>
      <c r="C691" s="189"/>
      <c r="D691" s="188"/>
      <c r="E691" s="188"/>
      <c r="F691" s="188"/>
      <c r="G691" s="188"/>
      <c r="H691" s="188"/>
      <c r="I691" s="188"/>
      <c r="J691" s="188"/>
      <c r="K691" s="182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</row>
    <row r="692" spans="1:25" ht="15.6" x14ac:dyDescent="0.3">
      <c r="A692" s="179"/>
      <c r="B692" s="188"/>
      <c r="C692" s="189"/>
      <c r="D692" s="188"/>
      <c r="E692" s="188"/>
      <c r="F692" s="188"/>
      <c r="G692" s="188"/>
      <c r="H692" s="188"/>
      <c r="I692" s="188"/>
      <c r="J692" s="188"/>
      <c r="K692" s="182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</row>
    <row r="693" spans="1:25" ht="15.6" x14ac:dyDescent="0.3">
      <c r="A693" s="179"/>
      <c r="B693" s="188"/>
      <c r="C693" s="189"/>
      <c r="D693" s="188"/>
      <c r="E693" s="188"/>
      <c r="F693" s="188"/>
      <c r="G693" s="188"/>
      <c r="H693" s="188"/>
      <c r="I693" s="188"/>
      <c r="J693" s="188"/>
      <c r="K693" s="182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</row>
    <row r="694" spans="1:25" ht="15.6" x14ac:dyDescent="0.3">
      <c r="A694" s="179"/>
      <c r="B694" s="188"/>
      <c r="C694" s="189"/>
      <c r="D694" s="188"/>
      <c r="E694" s="188"/>
      <c r="F694" s="188"/>
      <c r="G694" s="188"/>
      <c r="H694" s="188"/>
      <c r="I694" s="188"/>
      <c r="J694" s="188"/>
      <c r="K694" s="182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</row>
    <row r="695" spans="1:25" ht="15.6" x14ac:dyDescent="0.3">
      <c r="A695" s="179"/>
      <c r="B695" s="188"/>
      <c r="C695" s="189"/>
      <c r="D695" s="188"/>
      <c r="E695" s="188"/>
      <c r="F695" s="188"/>
      <c r="G695" s="188"/>
      <c r="H695" s="188"/>
      <c r="I695" s="188"/>
      <c r="J695" s="188"/>
      <c r="K695" s="182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</row>
    <row r="696" spans="1:25" ht="15.6" x14ac:dyDescent="0.3">
      <c r="A696" s="179"/>
      <c r="B696" s="188"/>
      <c r="C696" s="189"/>
      <c r="D696" s="188"/>
      <c r="E696" s="188"/>
      <c r="F696" s="188"/>
      <c r="G696" s="188"/>
      <c r="H696" s="188"/>
      <c r="I696" s="188"/>
      <c r="J696" s="188"/>
      <c r="K696" s="182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</row>
    <row r="697" spans="1:25" ht="15.6" x14ac:dyDescent="0.3">
      <c r="A697" s="179"/>
      <c r="B697" s="188"/>
      <c r="C697" s="189"/>
      <c r="D697" s="188"/>
      <c r="E697" s="188"/>
      <c r="F697" s="188"/>
      <c r="G697" s="188"/>
      <c r="H697" s="188"/>
      <c r="I697" s="188"/>
      <c r="J697" s="188"/>
      <c r="K697" s="182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</row>
    <row r="698" spans="1:25" ht="15.6" x14ac:dyDescent="0.3">
      <c r="A698" s="179"/>
      <c r="B698" s="188"/>
      <c r="C698" s="189"/>
      <c r="D698" s="188"/>
      <c r="E698" s="188"/>
      <c r="F698" s="188"/>
      <c r="G698" s="188"/>
      <c r="H698" s="188"/>
      <c r="I698" s="188"/>
      <c r="J698" s="188"/>
      <c r="K698" s="182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</row>
    <row r="699" spans="1:25" ht="15.6" x14ac:dyDescent="0.3">
      <c r="A699" s="179"/>
      <c r="B699" s="188"/>
      <c r="C699" s="189"/>
      <c r="D699" s="188"/>
      <c r="E699" s="188"/>
      <c r="F699" s="188"/>
      <c r="G699" s="188"/>
      <c r="H699" s="188"/>
      <c r="I699" s="188"/>
      <c r="J699" s="188"/>
      <c r="K699" s="182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</row>
    <row r="700" spans="1:25" ht="15.6" x14ac:dyDescent="0.3">
      <c r="A700" s="179"/>
      <c r="B700" s="188"/>
      <c r="C700" s="189"/>
      <c r="D700" s="188"/>
      <c r="E700" s="188"/>
      <c r="F700" s="188"/>
      <c r="G700" s="188"/>
      <c r="H700" s="188"/>
      <c r="I700" s="188"/>
      <c r="J700" s="188"/>
      <c r="K700" s="182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</row>
    <row r="701" spans="1:25" ht="15.6" x14ac:dyDescent="0.3">
      <c r="A701" s="179"/>
      <c r="B701" s="188"/>
      <c r="C701" s="189"/>
      <c r="D701" s="188"/>
      <c r="E701" s="188"/>
      <c r="F701" s="188"/>
      <c r="G701" s="188"/>
      <c r="H701" s="188"/>
      <c r="I701" s="188"/>
      <c r="J701" s="188"/>
      <c r="K701" s="182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</row>
    <row r="702" spans="1:25" ht="15.6" x14ac:dyDescent="0.3">
      <c r="A702" s="179"/>
      <c r="B702" s="188"/>
      <c r="C702" s="189"/>
      <c r="D702" s="188"/>
      <c r="E702" s="188"/>
      <c r="F702" s="188"/>
      <c r="G702" s="188"/>
      <c r="H702" s="188"/>
      <c r="I702" s="188"/>
      <c r="J702" s="188"/>
      <c r="K702" s="182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</row>
    <row r="703" spans="1:25" ht="15.6" x14ac:dyDescent="0.3">
      <c r="A703" s="179"/>
      <c r="B703" s="188"/>
      <c r="C703" s="189"/>
      <c r="D703" s="188"/>
      <c r="E703" s="188"/>
      <c r="F703" s="188"/>
      <c r="G703" s="188"/>
      <c r="H703" s="188"/>
      <c r="I703" s="188"/>
      <c r="J703" s="188"/>
      <c r="K703" s="182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</row>
    <row r="704" spans="1:25" ht="15.6" x14ac:dyDescent="0.3">
      <c r="A704" s="179"/>
      <c r="B704" s="188"/>
      <c r="C704" s="189"/>
      <c r="D704" s="188"/>
      <c r="E704" s="188"/>
      <c r="F704" s="188"/>
      <c r="G704" s="188"/>
      <c r="H704" s="188"/>
      <c r="I704" s="188"/>
      <c r="J704" s="188"/>
      <c r="K704" s="182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</row>
    <row r="705" spans="1:25" ht="15.6" x14ac:dyDescent="0.3">
      <c r="A705" s="179"/>
      <c r="B705" s="188"/>
      <c r="C705" s="189"/>
      <c r="D705" s="188"/>
      <c r="E705" s="188"/>
      <c r="F705" s="188"/>
      <c r="G705" s="188"/>
      <c r="H705" s="188"/>
      <c r="I705" s="188"/>
      <c r="J705" s="188"/>
      <c r="K705" s="182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</row>
    <row r="706" spans="1:25" ht="15.6" x14ac:dyDescent="0.3">
      <c r="A706" s="179"/>
      <c r="B706" s="188"/>
      <c r="C706" s="189"/>
      <c r="D706" s="188"/>
      <c r="E706" s="188"/>
      <c r="F706" s="188"/>
      <c r="G706" s="188"/>
      <c r="H706" s="188"/>
      <c r="I706" s="188"/>
      <c r="J706" s="188"/>
      <c r="K706" s="182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</row>
    <row r="707" spans="1:25" ht="15.6" x14ac:dyDescent="0.3">
      <c r="A707" s="179"/>
      <c r="B707" s="188"/>
      <c r="C707" s="189"/>
      <c r="D707" s="188"/>
      <c r="E707" s="188"/>
      <c r="F707" s="188"/>
      <c r="G707" s="188"/>
      <c r="H707" s="188"/>
      <c r="I707" s="188"/>
      <c r="J707" s="188"/>
      <c r="K707" s="182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</row>
    <row r="708" spans="1:25" ht="15.6" x14ac:dyDescent="0.3">
      <c r="A708" s="179"/>
      <c r="B708" s="188"/>
      <c r="C708" s="189"/>
      <c r="D708" s="188"/>
      <c r="E708" s="188"/>
      <c r="F708" s="188"/>
      <c r="G708" s="188"/>
      <c r="H708" s="188"/>
      <c r="I708" s="188"/>
      <c r="J708" s="188"/>
      <c r="K708" s="182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</row>
    <row r="709" spans="1:25" ht="15.6" x14ac:dyDescent="0.3">
      <c r="A709" s="179"/>
      <c r="B709" s="188"/>
      <c r="C709" s="189"/>
      <c r="D709" s="188"/>
      <c r="E709" s="188"/>
      <c r="F709" s="188"/>
      <c r="G709" s="188"/>
      <c r="H709" s="188"/>
      <c r="I709" s="188"/>
      <c r="J709" s="188"/>
      <c r="K709" s="182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</row>
    <row r="710" spans="1:25" ht="15.6" x14ac:dyDescent="0.3">
      <c r="A710" s="179"/>
      <c r="B710" s="188"/>
      <c r="C710" s="189"/>
      <c r="D710" s="188"/>
      <c r="E710" s="188"/>
      <c r="F710" s="188"/>
      <c r="G710" s="188"/>
      <c r="H710" s="188"/>
      <c r="I710" s="188"/>
      <c r="J710" s="188"/>
      <c r="K710" s="182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</row>
    <row r="711" spans="1:25" ht="15.6" x14ac:dyDescent="0.3">
      <c r="A711" s="179"/>
      <c r="B711" s="188"/>
      <c r="C711" s="189"/>
      <c r="D711" s="188"/>
      <c r="E711" s="188"/>
      <c r="F711" s="188"/>
      <c r="G711" s="188"/>
      <c r="H711" s="188"/>
      <c r="I711" s="188"/>
      <c r="J711" s="188"/>
      <c r="K711" s="182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</row>
    <row r="712" spans="1:25" ht="15.6" x14ac:dyDescent="0.3">
      <c r="A712" s="179"/>
      <c r="B712" s="188"/>
      <c r="C712" s="189"/>
      <c r="D712" s="188"/>
      <c r="E712" s="188"/>
      <c r="F712" s="188"/>
      <c r="G712" s="188"/>
      <c r="H712" s="188"/>
      <c r="I712" s="188"/>
      <c r="J712" s="188"/>
      <c r="K712" s="182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</row>
    <row r="713" spans="1:25" ht="15.6" x14ac:dyDescent="0.3">
      <c r="A713" s="179"/>
      <c r="B713" s="188"/>
      <c r="C713" s="189"/>
      <c r="D713" s="188"/>
      <c r="E713" s="188"/>
      <c r="F713" s="188"/>
      <c r="G713" s="188"/>
      <c r="H713" s="188"/>
      <c r="I713" s="188"/>
      <c r="J713" s="188"/>
      <c r="K713" s="182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</row>
    <row r="714" spans="1:25" ht="15.6" x14ac:dyDescent="0.3">
      <c r="A714" s="179"/>
      <c r="B714" s="188"/>
      <c r="C714" s="189"/>
      <c r="D714" s="188"/>
      <c r="E714" s="188"/>
      <c r="F714" s="188"/>
      <c r="G714" s="188"/>
      <c r="H714" s="188"/>
      <c r="I714" s="188"/>
      <c r="J714" s="188"/>
      <c r="K714" s="182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</row>
    <row r="715" spans="1:25" ht="15.6" x14ac:dyDescent="0.3">
      <c r="A715" s="179"/>
      <c r="B715" s="188"/>
      <c r="C715" s="189"/>
      <c r="D715" s="188"/>
      <c r="E715" s="188"/>
      <c r="F715" s="188"/>
      <c r="G715" s="188"/>
      <c r="H715" s="188"/>
      <c r="I715" s="188"/>
      <c r="J715" s="188"/>
      <c r="K715" s="182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</row>
    <row r="716" spans="1:25" ht="15.6" x14ac:dyDescent="0.3">
      <c r="A716" s="179"/>
      <c r="B716" s="188"/>
      <c r="C716" s="189"/>
      <c r="D716" s="188"/>
      <c r="E716" s="188"/>
      <c r="F716" s="188"/>
      <c r="G716" s="188"/>
      <c r="H716" s="188"/>
      <c r="I716" s="188"/>
      <c r="J716" s="188"/>
      <c r="K716" s="182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</row>
    <row r="717" spans="1:25" ht="15.6" x14ac:dyDescent="0.3">
      <c r="A717" s="179"/>
      <c r="B717" s="188"/>
      <c r="C717" s="189"/>
      <c r="D717" s="188"/>
      <c r="E717" s="188"/>
      <c r="F717" s="188"/>
      <c r="G717" s="188"/>
      <c r="H717" s="188"/>
      <c r="I717" s="188"/>
      <c r="J717" s="188"/>
      <c r="K717" s="182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</row>
    <row r="718" spans="1:25" ht="15.6" x14ac:dyDescent="0.3">
      <c r="A718" s="179"/>
      <c r="B718" s="188"/>
      <c r="C718" s="189"/>
      <c r="D718" s="188"/>
      <c r="E718" s="188"/>
      <c r="F718" s="188"/>
      <c r="G718" s="188"/>
      <c r="H718" s="188"/>
      <c r="I718" s="188"/>
      <c r="J718" s="188"/>
      <c r="K718" s="182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</row>
    <row r="719" spans="1:25" ht="15.6" x14ac:dyDescent="0.3">
      <c r="A719" s="179"/>
      <c r="B719" s="188"/>
      <c r="C719" s="189"/>
      <c r="D719" s="188"/>
      <c r="E719" s="188"/>
      <c r="F719" s="188"/>
      <c r="G719" s="188"/>
      <c r="H719" s="188"/>
      <c r="I719" s="188"/>
      <c r="J719" s="188"/>
      <c r="K719" s="182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</row>
    <row r="720" spans="1:25" ht="15.6" x14ac:dyDescent="0.3">
      <c r="A720" s="179"/>
      <c r="B720" s="188"/>
      <c r="C720" s="189"/>
      <c r="D720" s="188"/>
      <c r="E720" s="188"/>
      <c r="F720" s="188"/>
      <c r="G720" s="188"/>
      <c r="H720" s="188"/>
      <c r="I720" s="188"/>
      <c r="J720" s="188"/>
      <c r="K720" s="182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</row>
    <row r="721" spans="1:25" ht="15.6" x14ac:dyDescent="0.3">
      <c r="A721" s="179"/>
      <c r="B721" s="188"/>
      <c r="C721" s="189"/>
      <c r="D721" s="188"/>
      <c r="E721" s="188"/>
      <c r="F721" s="188"/>
      <c r="G721" s="188"/>
      <c r="H721" s="188"/>
      <c r="I721" s="188"/>
      <c r="J721" s="188"/>
      <c r="K721" s="182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</row>
    <row r="722" spans="1:25" ht="15.6" x14ac:dyDescent="0.3">
      <c r="A722" s="179"/>
      <c r="B722" s="188"/>
      <c r="C722" s="189"/>
      <c r="D722" s="188"/>
      <c r="E722" s="188"/>
      <c r="F722" s="188"/>
      <c r="G722" s="188"/>
      <c r="H722" s="188"/>
      <c r="I722" s="188"/>
      <c r="J722" s="188"/>
      <c r="K722" s="182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</row>
    <row r="723" spans="1:25" ht="15.6" x14ac:dyDescent="0.3">
      <c r="A723" s="179"/>
      <c r="B723" s="188"/>
      <c r="C723" s="189"/>
      <c r="D723" s="188"/>
      <c r="E723" s="188"/>
      <c r="F723" s="188"/>
      <c r="G723" s="188"/>
      <c r="H723" s="188"/>
      <c r="I723" s="188"/>
      <c r="J723" s="188"/>
      <c r="K723" s="182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</row>
    <row r="724" spans="1:25" ht="15.6" x14ac:dyDescent="0.3">
      <c r="A724" s="179"/>
      <c r="B724" s="188"/>
      <c r="C724" s="189"/>
      <c r="D724" s="188"/>
      <c r="E724" s="188"/>
      <c r="F724" s="188"/>
      <c r="G724" s="188"/>
      <c r="H724" s="188"/>
      <c r="I724" s="188"/>
      <c r="J724" s="188"/>
      <c r="K724" s="182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</row>
    <row r="725" spans="1:25" ht="15.6" x14ac:dyDescent="0.3">
      <c r="A725" s="179"/>
      <c r="B725" s="188"/>
      <c r="C725" s="189"/>
      <c r="D725" s="188"/>
      <c r="E725" s="188"/>
      <c r="F725" s="188"/>
      <c r="G725" s="188"/>
      <c r="H725" s="188"/>
      <c r="I725" s="188"/>
      <c r="J725" s="188"/>
      <c r="K725" s="182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</row>
    <row r="726" spans="1:25" ht="15.6" x14ac:dyDescent="0.3">
      <c r="A726" s="179"/>
      <c r="B726" s="188"/>
      <c r="C726" s="189"/>
      <c r="D726" s="188"/>
      <c r="E726" s="188"/>
      <c r="F726" s="188"/>
      <c r="G726" s="188"/>
      <c r="H726" s="188"/>
      <c r="I726" s="188"/>
      <c r="J726" s="188"/>
      <c r="K726" s="182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</row>
    <row r="727" spans="1:25" ht="15.6" x14ac:dyDescent="0.3">
      <c r="A727" s="179"/>
      <c r="B727" s="188"/>
      <c r="C727" s="189"/>
      <c r="D727" s="188"/>
      <c r="E727" s="188"/>
      <c r="F727" s="188"/>
      <c r="G727" s="188"/>
      <c r="H727" s="188"/>
      <c r="I727" s="188"/>
      <c r="J727" s="188"/>
      <c r="K727" s="182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</row>
    <row r="728" spans="1:25" ht="15.6" x14ac:dyDescent="0.3">
      <c r="A728" s="179"/>
      <c r="B728" s="188"/>
      <c r="C728" s="189"/>
      <c r="D728" s="188"/>
      <c r="E728" s="188"/>
      <c r="F728" s="188"/>
      <c r="G728" s="188"/>
      <c r="H728" s="188"/>
      <c r="I728" s="188"/>
      <c r="J728" s="188"/>
      <c r="K728" s="182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</row>
    <row r="729" spans="1:25" ht="15.6" x14ac:dyDescent="0.3">
      <c r="A729" s="179"/>
      <c r="B729" s="188"/>
      <c r="C729" s="189"/>
      <c r="D729" s="188"/>
      <c r="E729" s="188"/>
      <c r="F729" s="188"/>
      <c r="G729" s="188"/>
      <c r="H729" s="188"/>
      <c r="I729" s="188"/>
      <c r="J729" s="188"/>
      <c r="K729" s="182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</row>
    <row r="730" spans="1:25" ht="15.6" x14ac:dyDescent="0.3">
      <c r="A730" s="179"/>
      <c r="B730" s="188"/>
      <c r="C730" s="189"/>
      <c r="D730" s="188"/>
      <c r="E730" s="188"/>
      <c r="F730" s="188"/>
      <c r="G730" s="188"/>
      <c r="H730" s="188"/>
      <c r="I730" s="188"/>
      <c r="J730" s="188"/>
      <c r="K730" s="182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</row>
    <row r="731" spans="1:25" ht="15.6" x14ac:dyDescent="0.3">
      <c r="A731" s="179"/>
      <c r="B731" s="188"/>
      <c r="C731" s="189"/>
      <c r="D731" s="188"/>
      <c r="E731" s="188"/>
      <c r="F731" s="188"/>
      <c r="G731" s="188"/>
      <c r="H731" s="188"/>
      <c r="I731" s="188"/>
      <c r="J731" s="188"/>
      <c r="K731" s="182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</row>
    <row r="732" spans="1:25" ht="15.6" x14ac:dyDescent="0.3">
      <c r="A732" s="179"/>
      <c r="B732" s="188"/>
      <c r="C732" s="189"/>
      <c r="D732" s="188"/>
      <c r="E732" s="188"/>
      <c r="F732" s="188"/>
      <c r="G732" s="188"/>
      <c r="H732" s="188"/>
      <c r="I732" s="188"/>
      <c r="J732" s="188"/>
      <c r="K732" s="182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</row>
    <row r="733" spans="1:25" ht="15.6" x14ac:dyDescent="0.3">
      <c r="A733" s="179"/>
      <c r="B733" s="188"/>
      <c r="C733" s="189"/>
      <c r="D733" s="188"/>
      <c r="E733" s="188"/>
      <c r="F733" s="188"/>
      <c r="G733" s="188"/>
      <c r="H733" s="188"/>
      <c r="I733" s="188"/>
      <c r="J733" s="188"/>
      <c r="K733" s="182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</row>
    <row r="734" spans="1:25" ht="15.6" x14ac:dyDescent="0.3">
      <c r="A734" s="179"/>
      <c r="B734" s="188"/>
      <c r="C734" s="189"/>
      <c r="D734" s="188"/>
      <c r="E734" s="188"/>
      <c r="F734" s="188"/>
      <c r="G734" s="188"/>
      <c r="H734" s="188"/>
      <c r="I734" s="188"/>
      <c r="J734" s="188"/>
      <c r="K734" s="182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</row>
    <row r="735" spans="1:25" ht="15.6" x14ac:dyDescent="0.3">
      <c r="A735" s="179"/>
      <c r="B735" s="188"/>
      <c r="C735" s="189"/>
      <c r="D735" s="188"/>
      <c r="E735" s="188"/>
      <c r="F735" s="188"/>
      <c r="G735" s="188"/>
      <c r="H735" s="188"/>
      <c r="I735" s="188"/>
      <c r="J735" s="188"/>
      <c r="K735" s="182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</row>
    <row r="736" spans="1:25" ht="15.6" x14ac:dyDescent="0.3">
      <c r="A736" s="179"/>
      <c r="B736" s="188"/>
      <c r="C736" s="189"/>
      <c r="D736" s="188"/>
      <c r="E736" s="188"/>
      <c r="F736" s="188"/>
      <c r="G736" s="188"/>
      <c r="H736" s="188"/>
      <c r="I736" s="188"/>
      <c r="J736" s="188"/>
      <c r="K736" s="182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</row>
    <row r="737" spans="1:25" ht="15.6" x14ac:dyDescent="0.3">
      <c r="A737" s="179"/>
      <c r="B737" s="188"/>
      <c r="C737" s="189"/>
      <c r="D737" s="188"/>
      <c r="E737" s="188"/>
      <c r="F737" s="188"/>
      <c r="G737" s="188"/>
      <c r="H737" s="188"/>
      <c r="I737" s="188"/>
      <c r="J737" s="188"/>
      <c r="K737" s="182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</row>
    <row r="738" spans="1:25" ht="15.6" x14ac:dyDescent="0.3">
      <c r="A738" s="179"/>
      <c r="B738" s="188"/>
      <c r="C738" s="189"/>
      <c r="D738" s="188"/>
      <c r="E738" s="188"/>
      <c r="F738" s="188"/>
      <c r="G738" s="188"/>
      <c r="H738" s="188"/>
      <c r="I738" s="188"/>
      <c r="J738" s="188"/>
      <c r="K738" s="182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</row>
    <row r="739" spans="1:25" ht="15.6" x14ac:dyDescent="0.3">
      <c r="A739" s="179"/>
      <c r="B739" s="188"/>
      <c r="C739" s="189"/>
      <c r="D739" s="188"/>
      <c r="E739" s="188"/>
      <c r="F739" s="188"/>
      <c r="G739" s="188"/>
      <c r="H739" s="188"/>
      <c r="I739" s="188"/>
      <c r="J739" s="188"/>
      <c r="K739" s="182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</row>
    <row r="740" spans="1:25" ht="15.6" x14ac:dyDescent="0.3">
      <c r="A740" s="179"/>
      <c r="B740" s="188"/>
      <c r="C740" s="189"/>
      <c r="D740" s="188"/>
      <c r="E740" s="188"/>
      <c r="F740" s="188"/>
      <c r="G740" s="188"/>
      <c r="H740" s="188"/>
      <c r="I740" s="188"/>
      <c r="J740" s="188"/>
      <c r="K740" s="182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</row>
    <row r="741" spans="1:25" ht="15.6" x14ac:dyDescent="0.3">
      <c r="A741" s="179"/>
      <c r="B741" s="188"/>
      <c r="C741" s="189"/>
      <c r="D741" s="188"/>
      <c r="E741" s="188"/>
      <c r="F741" s="188"/>
      <c r="G741" s="188"/>
      <c r="H741" s="188"/>
      <c r="I741" s="188"/>
      <c r="J741" s="188"/>
      <c r="K741" s="182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</row>
    <row r="742" spans="1:25" ht="15.6" x14ac:dyDescent="0.3">
      <c r="A742" s="179"/>
      <c r="B742" s="188"/>
      <c r="C742" s="189"/>
      <c r="D742" s="188"/>
      <c r="E742" s="188"/>
      <c r="F742" s="188"/>
      <c r="G742" s="188"/>
      <c r="H742" s="188"/>
      <c r="I742" s="188"/>
      <c r="J742" s="188"/>
      <c r="K742" s="182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</row>
    <row r="743" spans="1:25" ht="15.6" x14ac:dyDescent="0.3">
      <c r="A743" s="179"/>
      <c r="B743" s="188"/>
      <c r="C743" s="189"/>
      <c r="D743" s="188"/>
      <c r="E743" s="188"/>
      <c r="F743" s="188"/>
      <c r="G743" s="188"/>
      <c r="H743" s="188"/>
      <c r="I743" s="188"/>
      <c r="J743" s="188"/>
      <c r="K743" s="182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</row>
    <row r="744" spans="1:25" ht="15.6" x14ac:dyDescent="0.3">
      <c r="A744" s="179"/>
      <c r="B744" s="188"/>
      <c r="C744" s="189"/>
      <c r="D744" s="188"/>
      <c r="E744" s="188"/>
      <c r="F744" s="188"/>
      <c r="G744" s="188"/>
      <c r="H744" s="188"/>
      <c r="I744" s="188"/>
      <c r="J744" s="188"/>
      <c r="K744" s="182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</row>
    <row r="745" spans="1:25" ht="15.6" x14ac:dyDescent="0.3">
      <c r="A745" s="179"/>
      <c r="B745" s="188"/>
      <c r="C745" s="189"/>
      <c r="D745" s="188"/>
      <c r="E745" s="188"/>
      <c r="F745" s="188"/>
      <c r="G745" s="188"/>
      <c r="H745" s="188"/>
      <c r="I745" s="188"/>
      <c r="J745" s="188"/>
      <c r="K745" s="182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</row>
    <row r="746" spans="1:25" ht="15.6" x14ac:dyDescent="0.3">
      <c r="A746" s="179"/>
      <c r="B746" s="188"/>
      <c r="C746" s="189"/>
      <c r="D746" s="188"/>
      <c r="E746" s="188"/>
      <c r="F746" s="188"/>
      <c r="G746" s="188"/>
      <c r="H746" s="188"/>
      <c r="I746" s="188"/>
      <c r="J746" s="188"/>
      <c r="K746" s="182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</row>
    <row r="747" spans="1:25" ht="15.6" x14ac:dyDescent="0.3">
      <c r="A747" s="179"/>
      <c r="B747" s="188"/>
      <c r="C747" s="189"/>
      <c r="D747" s="188"/>
      <c r="E747" s="188"/>
      <c r="F747" s="188"/>
      <c r="G747" s="188"/>
      <c r="H747" s="188"/>
      <c r="I747" s="188"/>
      <c r="J747" s="188"/>
      <c r="K747" s="182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</row>
    <row r="748" spans="1:25" ht="15.6" x14ac:dyDescent="0.3">
      <c r="A748" s="179"/>
      <c r="B748" s="188"/>
      <c r="C748" s="189"/>
      <c r="D748" s="188"/>
      <c r="E748" s="188"/>
      <c r="F748" s="188"/>
      <c r="G748" s="188"/>
      <c r="H748" s="188"/>
      <c r="I748" s="188"/>
      <c r="J748" s="188"/>
      <c r="K748" s="182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</row>
    <row r="749" spans="1:25" ht="15.6" x14ac:dyDescent="0.3">
      <c r="A749" s="179"/>
      <c r="B749" s="188"/>
      <c r="C749" s="189"/>
      <c r="D749" s="188"/>
      <c r="E749" s="188"/>
      <c r="F749" s="188"/>
      <c r="G749" s="188"/>
      <c r="H749" s="188"/>
      <c r="I749" s="188"/>
      <c r="J749" s="188"/>
      <c r="K749" s="182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</row>
    <row r="750" spans="1:25" ht="15.6" x14ac:dyDescent="0.3">
      <c r="A750" s="179"/>
      <c r="B750" s="188"/>
      <c r="C750" s="189"/>
      <c r="D750" s="188"/>
      <c r="E750" s="188"/>
      <c r="F750" s="188"/>
      <c r="G750" s="188"/>
      <c r="H750" s="188"/>
      <c r="I750" s="188"/>
      <c r="J750" s="188"/>
      <c r="K750" s="182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</row>
    <row r="751" spans="1:25" ht="15.6" x14ac:dyDescent="0.3">
      <c r="A751" s="179"/>
      <c r="B751" s="188"/>
      <c r="C751" s="189"/>
      <c r="D751" s="188"/>
      <c r="E751" s="188"/>
      <c r="F751" s="188"/>
      <c r="G751" s="188"/>
      <c r="H751" s="188"/>
      <c r="I751" s="188"/>
      <c r="J751" s="188"/>
      <c r="K751" s="182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</row>
    <row r="752" spans="1:25" ht="15.6" x14ac:dyDescent="0.3">
      <c r="A752" s="179"/>
      <c r="B752" s="188"/>
      <c r="C752" s="189"/>
      <c r="D752" s="188"/>
      <c r="E752" s="188"/>
      <c r="F752" s="188"/>
      <c r="G752" s="188"/>
      <c r="H752" s="188"/>
      <c r="I752" s="188"/>
      <c r="J752" s="188"/>
      <c r="K752" s="182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</row>
    <row r="753" spans="1:25" ht="15.6" x14ac:dyDescent="0.3">
      <c r="A753" s="179"/>
      <c r="B753" s="188"/>
      <c r="C753" s="189"/>
      <c r="D753" s="188"/>
      <c r="E753" s="188"/>
      <c r="F753" s="188"/>
      <c r="G753" s="188"/>
      <c r="H753" s="188"/>
      <c r="I753" s="188"/>
      <c r="J753" s="188"/>
      <c r="K753" s="182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</row>
    <row r="754" spans="1:25" ht="15.6" x14ac:dyDescent="0.3">
      <c r="A754" s="179"/>
      <c r="B754" s="188"/>
      <c r="C754" s="189"/>
      <c r="D754" s="188"/>
      <c r="E754" s="188"/>
      <c r="F754" s="188"/>
      <c r="G754" s="188"/>
      <c r="H754" s="188"/>
      <c r="I754" s="188"/>
      <c r="J754" s="188"/>
      <c r="K754" s="182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</row>
    <row r="755" spans="1:25" ht="15.6" x14ac:dyDescent="0.3">
      <c r="A755" s="179"/>
      <c r="B755" s="188"/>
      <c r="C755" s="189"/>
      <c r="D755" s="188"/>
      <c r="E755" s="188"/>
      <c r="F755" s="188"/>
      <c r="G755" s="188"/>
      <c r="H755" s="188"/>
      <c r="I755" s="188"/>
      <c r="J755" s="188"/>
      <c r="K755" s="182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</row>
    <row r="756" spans="1:25" ht="15.6" x14ac:dyDescent="0.3">
      <c r="A756" s="179"/>
      <c r="B756" s="188"/>
      <c r="C756" s="189"/>
      <c r="D756" s="188"/>
      <c r="E756" s="188"/>
      <c r="F756" s="188"/>
      <c r="G756" s="188"/>
      <c r="H756" s="188"/>
      <c r="I756" s="188"/>
      <c r="J756" s="188"/>
      <c r="K756" s="182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</row>
    <row r="757" spans="1:25" ht="15.6" x14ac:dyDescent="0.3">
      <c r="A757" s="179"/>
      <c r="B757" s="188"/>
      <c r="C757" s="189"/>
      <c r="D757" s="188"/>
      <c r="E757" s="188"/>
      <c r="F757" s="188"/>
      <c r="G757" s="188"/>
      <c r="H757" s="188"/>
      <c r="I757" s="188"/>
      <c r="J757" s="188"/>
      <c r="K757" s="182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</row>
    <row r="758" spans="1:25" ht="15.6" x14ac:dyDescent="0.3">
      <c r="A758" s="179"/>
      <c r="B758" s="188"/>
      <c r="C758" s="189"/>
      <c r="D758" s="188"/>
      <c r="E758" s="188"/>
      <c r="F758" s="188"/>
      <c r="G758" s="188"/>
      <c r="H758" s="188"/>
      <c r="I758" s="188"/>
      <c r="J758" s="188"/>
      <c r="K758" s="182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</row>
    <row r="759" spans="1:25" ht="15.6" x14ac:dyDescent="0.3">
      <c r="A759" s="179"/>
      <c r="B759" s="188"/>
      <c r="C759" s="189"/>
      <c r="D759" s="188"/>
      <c r="E759" s="188"/>
      <c r="F759" s="188"/>
      <c r="G759" s="188"/>
      <c r="H759" s="188"/>
      <c r="I759" s="188"/>
      <c r="J759" s="188"/>
      <c r="K759" s="182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</row>
    <row r="760" spans="1:25" ht="15.6" x14ac:dyDescent="0.3">
      <c r="A760" s="179"/>
      <c r="B760" s="188"/>
      <c r="C760" s="189"/>
      <c r="D760" s="188"/>
      <c r="E760" s="188"/>
      <c r="F760" s="188"/>
      <c r="G760" s="188"/>
      <c r="H760" s="188"/>
      <c r="I760" s="188"/>
      <c r="J760" s="188"/>
      <c r="K760" s="182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</row>
    <row r="761" spans="1:25" ht="15.6" x14ac:dyDescent="0.3">
      <c r="A761" s="179"/>
      <c r="B761" s="188"/>
      <c r="C761" s="189"/>
      <c r="D761" s="188"/>
      <c r="E761" s="188"/>
      <c r="F761" s="188"/>
      <c r="G761" s="188"/>
      <c r="H761" s="188"/>
      <c r="I761" s="188"/>
      <c r="J761" s="188"/>
      <c r="K761" s="182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</row>
    <row r="762" spans="1:25" ht="15.6" x14ac:dyDescent="0.3">
      <c r="A762" s="179"/>
      <c r="B762" s="188"/>
      <c r="C762" s="189"/>
      <c r="D762" s="188"/>
      <c r="E762" s="188"/>
      <c r="F762" s="188"/>
      <c r="G762" s="188"/>
      <c r="H762" s="188"/>
      <c r="I762" s="188"/>
      <c r="J762" s="188"/>
      <c r="K762" s="182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</row>
    <row r="763" spans="1:25" ht="15.6" x14ac:dyDescent="0.3">
      <c r="A763" s="179"/>
      <c r="B763" s="188"/>
      <c r="C763" s="189"/>
      <c r="D763" s="188"/>
      <c r="E763" s="188"/>
      <c r="F763" s="188"/>
      <c r="G763" s="188"/>
      <c r="H763" s="188"/>
      <c r="I763" s="188"/>
      <c r="J763" s="188"/>
      <c r="K763" s="182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</row>
    <row r="764" spans="1:25" ht="15.6" x14ac:dyDescent="0.3">
      <c r="A764" s="179"/>
      <c r="B764" s="188"/>
      <c r="C764" s="189"/>
      <c r="D764" s="188"/>
      <c r="E764" s="188"/>
      <c r="F764" s="188"/>
      <c r="G764" s="188"/>
      <c r="H764" s="188"/>
      <c r="I764" s="188"/>
      <c r="J764" s="188"/>
      <c r="K764" s="182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</row>
    <row r="765" spans="1:25" ht="15.6" x14ac:dyDescent="0.3">
      <c r="A765" s="179"/>
      <c r="B765" s="188"/>
      <c r="C765" s="189"/>
      <c r="D765" s="188"/>
      <c r="E765" s="188"/>
      <c r="F765" s="188"/>
      <c r="G765" s="188"/>
      <c r="H765" s="188"/>
      <c r="I765" s="188"/>
      <c r="J765" s="188"/>
      <c r="K765" s="182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</row>
    <row r="766" spans="1:25" ht="15.6" x14ac:dyDescent="0.3">
      <c r="A766" s="179"/>
      <c r="B766" s="188"/>
      <c r="C766" s="189"/>
      <c r="D766" s="188"/>
      <c r="E766" s="188"/>
      <c r="F766" s="188"/>
      <c r="G766" s="188"/>
      <c r="H766" s="188"/>
      <c r="I766" s="188"/>
      <c r="J766" s="188"/>
      <c r="K766" s="182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</row>
    <row r="767" spans="1:25" ht="15.6" x14ac:dyDescent="0.3">
      <c r="A767" s="179"/>
      <c r="B767" s="188"/>
      <c r="C767" s="189"/>
      <c r="D767" s="188"/>
      <c r="E767" s="188"/>
      <c r="F767" s="188"/>
      <c r="G767" s="188"/>
      <c r="H767" s="188"/>
      <c r="I767" s="188"/>
      <c r="J767" s="188"/>
      <c r="K767" s="182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</row>
    <row r="768" spans="1:25" ht="15.6" x14ac:dyDescent="0.3">
      <c r="A768" s="179"/>
      <c r="B768" s="188"/>
      <c r="C768" s="189"/>
      <c r="D768" s="188"/>
      <c r="E768" s="188"/>
      <c r="F768" s="188"/>
      <c r="G768" s="188"/>
      <c r="H768" s="188"/>
      <c r="I768" s="188"/>
      <c r="J768" s="188"/>
      <c r="K768" s="182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</row>
    <row r="769" spans="1:25" ht="15.6" x14ac:dyDescent="0.3">
      <c r="A769" s="179"/>
      <c r="B769" s="188"/>
      <c r="C769" s="189"/>
      <c r="D769" s="188"/>
      <c r="E769" s="188"/>
      <c r="F769" s="188"/>
      <c r="G769" s="188"/>
      <c r="H769" s="188"/>
      <c r="I769" s="188"/>
      <c r="J769" s="188"/>
      <c r="K769" s="182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</row>
    <row r="770" spans="1:25" ht="15.6" x14ac:dyDescent="0.3">
      <c r="A770" s="179"/>
      <c r="B770" s="188"/>
      <c r="C770" s="189"/>
      <c r="D770" s="188"/>
      <c r="E770" s="188"/>
      <c r="F770" s="188"/>
      <c r="G770" s="188"/>
      <c r="H770" s="188"/>
      <c r="I770" s="188"/>
      <c r="J770" s="188"/>
      <c r="K770" s="182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</row>
    <row r="771" spans="1:25" ht="15.6" x14ac:dyDescent="0.3">
      <c r="A771" s="179"/>
      <c r="B771" s="188"/>
      <c r="C771" s="189"/>
      <c r="D771" s="188"/>
      <c r="E771" s="188"/>
      <c r="F771" s="188"/>
      <c r="G771" s="188"/>
      <c r="H771" s="188"/>
      <c r="I771" s="188"/>
      <c r="J771" s="188"/>
      <c r="K771" s="182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</row>
    <row r="772" spans="1:25" ht="15.6" x14ac:dyDescent="0.3">
      <c r="A772" s="179"/>
      <c r="B772" s="188"/>
      <c r="C772" s="189"/>
      <c r="D772" s="188"/>
      <c r="E772" s="188"/>
      <c r="F772" s="188"/>
      <c r="G772" s="188"/>
      <c r="H772" s="188"/>
      <c r="I772" s="188"/>
      <c r="J772" s="188"/>
      <c r="K772" s="182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</row>
    <row r="773" spans="1:25" ht="15.6" x14ac:dyDescent="0.3">
      <c r="A773" s="179"/>
      <c r="B773" s="188"/>
      <c r="C773" s="189"/>
      <c r="D773" s="188"/>
      <c r="E773" s="188"/>
      <c r="F773" s="188"/>
      <c r="G773" s="188"/>
      <c r="H773" s="188"/>
      <c r="I773" s="188"/>
      <c r="J773" s="188"/>
      <c r="K773" s="182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</row>
    <row r="774" spans="1:25" ht="15.6" x14ac:dyDescent="0.3">
      <c r="A774" s="179"/>
      <c r="B774" s="188"/>
      <c r="C774" s="189"/>
      <c r="D774" s="188"/>
      <c r="E774" s="188"/>
      <c r="F774" s="188"/>
      <c r="G774" s="188"/>
      <c r="H774" s="188"/>
      <c r="I774" s="188"/>
      <c r="J774" s="188"/>
      <c r="K774" s="182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</row>
    <row r="775" spans="1:25" ht="15.6" x14ac:dyDescent="0.3">
      <c r="A775" s="179"/>
      <c r="B775" s="188"/>
      <c r="C775" s="189"/>
      <c r="D775" s="188"/>
      <c r="E775" s="188"/>
      <c r="F775" s="188"/>
      <c r="G775" s="188"/>
      <c r="H775" s="188"/>
      <c r="I775" s="188"/>
      <c r="J775" s="188"/>
      <c r="K775" s="182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</row>
    <row r="776" spans="1:25" ht="15.6" x14ac:dyDescent="0.3">
      <c r="A776" s="179"/>
      <c r="B776" s="188"/>
      <c r="C776" s="189"/>
      <c r="D776" s="188"/>
      <c r="E776" s="188"/>
      <c r="F776" s="188"/>
      <c r="G776" s="188"/>
      <c r="H776" s="188"/>
      <c r="I776" s="188"/>
      <c r="J776" s="188"/>
      <c r="K776" s="182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</row>
    <row r="777" spans="1:25" ht="15.6" x14ac:dyDescent="0.3">
      <c r="A777" s="179"/>
      <c r="B777" s="188"/>
      <c r="C777" s="189"/>
      <c r="D777" s="188"/>
      <c r="E777" s="188"/>
      <c r="F777" s="188"/>
      <c r="G777" s="188"/>
      <c r="H777" s="188"/>
      <c r="I777" s="188"/>
      <c r="J777" s="188"/>
      <c r="K777" s="182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</row>
    <row r="778" spans="1:25" ht="15.6" x14ac:dyDescent="0.3">
      <c r="A778" s="179"/>
      <c r="B778" s="188"/>
      <c r="C778" s="189"/>
      <c r="D778" s="188"/>
      <c r="E778" s="188"/>
      <c r="F778" s="188"/>
      <c r="G778" s="188"/>
      <c r="H778" s="188"/>
      <c r="I778" s="188"/>
      <c r="J778" s="188"/>
      <c r="K778" s="182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</row>
    <row r="779" spans="1:25" ht="15.6" x14ac:dyDescent="0.3">
      <c r="A779" s="179"/>
      <c r="B779" s="188"/>
      <c r="C779" s="189"/>
      <c r="D779" s="188"/>
      <c r="E779" s="188"/>
      <c r="F779" s="188"/>
      <c r="G779" s="188"/>
      <c r="H779" s="188"/>
      <c r="I779" s="188"/>
      <c r="J779" s="188"/>
      <c r="K779" s="182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</row>
    <row r="780" spans="1:25" ht="15.6" x14ac:dyDescent="0.3">
      <c r="A780" s="179"/>
      <c r="B780" s="188"/>
      <c r="C780" s="189"/>
      <c r="D780" s="188"/>
      <c r="E780" s="188"/>
      <c r="F780" s="188"/>
      <c r="G780" s="188"/>
      <c r="H780" s="188"/>
      <c r="I780" s="188"/>
      <c r="J780" s="188"/>
      <c r="K780" s="182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</row>
    <row r="781" spans="1:25" ht="15.6" x14ac:dyDescent="0.3">
      <c r="A781" s="179"/>
      <c r="B781" s="188"/>
      <c r="C781" s="189"/>
      <c r="D781" s="188"/>
      <c r="E781" s="188"/>
      <c r="F781" s="188"/>
      <c r="G781" s="188"/>
      <c r="H781" s="188"/>
      <c r="I781" s="188"/>
      <c r="J781" s="188"/>
      <c r="K781" s="182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</row>
    <row r="782" spans="1:25" ht="15.6" x14ac:dyDescent="0.3">
      <c r="A782" s="179"/>
      <c r="B782" s="188"/>
      <c r="C782" s="189"/>
      <c r="D782" s="188"/>
      <c r="E782" s="188"/>
      <c r="F782" s="188"/>
      <c r="G782" s="188"/>
      <c r="H782" s="188"/>
      <c r="I782" s="188"/>
      <c r="J782" s="188"/>
      <c r="K782" s="182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</row>
    <row r="783" spans="1:25" ht="15.6" x14ac:dyDescent="0.3">
      <c r="A783" s="179"/>
      <c r="B783" s="188"/>
      <c r="C783" s="189"/>
      <c r="D783" s="188"/>
      <c r="E783" s="188"/>
      <c r="F783" s="188"/>
      <c r="G783" s="188"/>
      <c r="H783" s="188"/>
      <c r="I783" s="188"/>
      <c r="J783" s="188"/>
      <c r="K783" s="182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</row>
    <row r="784" spans="1:25" ht="15.6" x14ac:dyDescent="0.3">
      <c r="A784" s="179"/>
      <c r="B784" s="188"/>
      <c r="C784" s="189"/>
      <c r="D784" s="188"/>
      <c r="E784" s="188"/>
      <c r="F784" s="188"/>
      <c r="G784" s="188"/>
      <c r="H784" s="188"/>
      <c r="I784" s="188"/>
      <c r="J784" s="188"/>
      <c r="K784" s="182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</row>
    <row r="785" spans="1:25" ht="15.6" x14ac:dyDescent="0.3">
      <c r="A785" s="179"/>
      <c r="B785" s="188"/>
      <c r="C785" s="189"/>
      <c r="D785" s="188"/>
      <c r="E785" s="188"/>
      <c r="F785" s="188"/>
      <c r="G785" s="188"/>
      <c r="H785" s="188"/>
      <c r="I785" s="188"/>
      <c r="J785" s="188"/>
      <c r="K785" s="182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</row>
    <row r="786" spans="1:25" ht="15.6" x14ac:dyDescent="0.3">
      <c r="A786" s="179"/>
      <c r="B786" s="188"/>
      <c r="C786" s="189"/>
      <c r="D786" s="188"/>
      <c r="E786" s="188"/>
      <c r="F786" s="188"/>
      <c r="G786" s="188"/>
      <c r="H786" s="188"/>
      <c r="I786" s="188"/>
      <c r="J786" s="188"/>
      <c r="K786" s="182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</row>
    <row r="787" spans="1:25" ht="15.6" x14ac:dyDescent="0.3">
      <c r="A787" s="179"/>
      <c r="B787" s="188"/>
      <c r="C787" s="189"/>
      <c r="D787" s="188"/>
      <c r="E787" s="188"/>
      <c r="F787" s="188"/>
      <c r="G787" s="188"/>
      <c r="H787" s="188"/>
      <c r="I787" s="188"/>
      <c r="J787" s="188"/>
      <c r="K787" s="182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</row>
    <row r="788" spans="1:25" ht="15.6" x14ac:dyDescent="0.3">
      <c r="A788" s="179"/>
      <c r="B788" s="188"/>
      <c r="C788" s="189"/>
      <c r="D788" s="188"/>
      <c r="E788" s="188"/>
      <c r="F788" s="188"/>
      <c r="G788" s="188"/>
      <c r="H788" s="188"/>
      <c r="I788" s="188"/>
      <c r="J788" s="188"/>
      <c r="K788" s="182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</row>
    <row r="789" spans="1:25" ht="15.6" x14ac:dyDescent="0.3">
      <c r="A789" s="179"/>
      <c r="B789" s="188"/>
      <c r="C789" s="189"/>
      <c r="D789" s="188"/>
      <c r="E789" s="188"/>
      <c r="F789" s="188"/>
      <c r="G789" s="188"/>
      <c r="H789" s="188"/>
      <c r="I789" s="188"/>
      <c r="J789" s="188"/>
      <c r="K789" s="182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</row>
    <row r="790" spans="1:25" ht="15.6" x14ac:dyDescent="0.3">
      <c r="A790" s="179"/>
      <c r="B790" s="188"/>
      <c r="C790" s="189"/>
      <c r="D790" s="188"/>
      <c r="E790" s="188"/>
      <c r="F790" s="188"/>
      <c r="G790" s="188"/>
      <c r="H790" s="188"/>
      <c r="I790" s="188"/>
      <c r="J790" s="188"/>
      <c r="K790" s="182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</row>
    <row r="791" spans="1:25" ht="15.6" x14ac:dyDescent="0.3">
      <c r="A791" s="179"/>
      <c r="B791" s="188"/>
      <c r="C791" s="189"/>
      <c r="D791" s="188"/>
      <c r="E791" s="188"/>
      <c r="F791" s="188"/>
      <c r="G791" s="188"/>
      <c r="H791" s="188"/>
      <c r="I791" s="188"/>
      <c r="J791" s="188"/>
      <c r="K791" s="182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</row>
    <row r="792" spans="1:25" ht="15.6" x14ac:dyDescent="0.3">
      <c r="A792" s="179"/>
      <c r="B792" s="188"/>
      <c r="C792" s="189"/>
      <c r="D792" s="188"/>
      <c r="E792" s="188"/>
      <c r="F792" s="188"/>
      <c r="G792" s="188"/>
      <c r="H792" s="188"/>
      <c r="I792" s="188"/>
      <c r="J792" s="188"/>
      <c r="K792" s="182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</row>
    <row r="793" spans="1:25" ht="15.6" x14ac:dyDescent="0.3">
      <c r="A793" s="179"/>
      <c r="B793" s="188"/>
      <c r="C793" s="189"/>
      <c r="D793" s="188"/>
      <c r="E793" s="188"/>
      <c r="F793" s="188"/>
      <c r="G793" s="188"/>
      <c r="H793" s="188"/>
      <c r="I793" s="188"/>
      <c r="J793" s="188"/>
      <c r="K793" s="182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</row>
    <row r="794" spans="1:25" ht="15.6" x14ac:dyDescent="0.3">
      <c r="A794" s="179"/>
      <c r="B794" s="188"/>
      <c r="C794" s="189"/>
      <c r="D794" s="188"/>
      <c r="E794" s="188"/>
      <c r="F794" s="188"/>
      <c r="G794" s="188"/>
      <c r="H794" s="188"/>
      <c r="I794" s="188"/>
      <c r="J794" s="188"/>
      <c r="K794" s="182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</row>
    <row r="795" spans="1:25" ht="15.6" x14ac:dyDescent="0.3">
      <c r="A795" s="179"/>
      <c r="B795" s="188"/>
      <c r="C795" s="189"/>
      <c r="D795" s="188"/>
      <c r="E795" s="188"/>
      <c r="F795" s="188"/>
      <c r="G795" s="188"/>
      <c r="H795" s="188"/>
      <c r="I795" s="188"/>
      <c r="J795" s="188"/>
      <c r="K795" s="182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</row>
    <row r="796" spans="1:25" ht="15.6" x14ac:dyDescent="0.3">
      <c r="A796" s="179"/>
      <c r="B796" s="188"/>
      <c r="C796" s="189"/>
      <c r="D796" s="188"/>
      <c r="E796" s="188"/>
      <c r="F796" s="188"/>
      <c r="G796" s="188"/>
      <c r="H796" s="188"/>
      <c r="I796" s="188"/>
      <c r="J796" s="188"/>
      <c r="K796" s="182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</row>
    <row r="797" spans="1:25" ht="15.6" x14ac:dyDescent="0.3">
      <c r="A797" s="179"/>
      <c r="B797" s="188"/>
      <c r="C797" s="189"/>
      <c r="D797" s="188"/>
      <c r="E797" s="188"/>
      <c r="F797" s="188"/>
      <c r="G797" s="188"/>
      <c r="H797" s="188"/>
      <c r="I797" s="188"/>
      <c r="J797" s="188"/>
      <c r="K797" s="182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</row>
    <row r="798" spans="1:25" ht="15.6" x14ac:dyDescent="0.3">
      <c r="A798" s="179"/>
      <c r="B798" s="188"/>
      <c r="C798" s="189"/>
      <c r="D798" s="188"/>
      <c r="E798" s="188"/>
      <c r="F798" s="188"/>
      <c r="G798" s="188"/>
      <c r="H798" s="188"/>
      <c r="I798" s="188"/>
      <c r="J798" s="188"/>
      <c r="K798" s="182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</row>
    <row r="799" spans="1:25" ht="15.6" x14ac:dyDescent="0.3">
      <c r="A799" s="179"/>
      <c r="B799" s="188"/>
      <c r="C799" s="189"/>
      <c r="D799" s="188"/>
      <c r="E799" s="188"/>
      <c r="F799" s="188"/>
      <c r="G799" s="188"/>
      <c r="H799" s="188"/>
      <c r="I799" s="188"/>
      <c r="J799" s="188"/>
      <c r="K799" s="182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</row>
    <row r="800" spans="1:25" ht="15.6" x14ac:dyDescent="0.3">
      <c r="A800" s="179"/>
      <c r="B800" s="188"/>
      <c r="C800" s="189"/>
      <c r="D800" s="188"/>
      <c r="E800" s="188"/>
      <c r="F800" s="188"/>
      <c r="G800" s="188"/>
      <c r="H800" s="188"/>
      <c r="I800" s="188"/>
      <c r="J800" s="188"/>
      <c r="K800" s="182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</row>
    <row r="801" spans="1:25" ht="15.6" x14ac:dyDescent="0.3">
      <c r="A801" s="179"/>
      <c r="B801" s="188"/>
      <c r="C801" s="189"/>
      <c r="D801" s="188"/>
      <c r="E801" s="188"/>
      <c r="F801" s="188"/>
      <c r="G801" s="188"/>
      <c r="H801" s="188"/>
      <c r="I801" s="188"/>
      <c r="J801" s="188"/>
      <c r="K801" s="182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</row>
    <row r="802" spans="1:25" ht="15.6" x14ac:dyDescent="0.3">
      <c r="A802" s="179"/>
      <c r="B802" s="188"/>
      <c r="C802" s="189"/>
      <c r="D802" s="188"/>
      <c r="E802" s="188"/>
      <c r="F802" s="188"/>
      <c r="G802" s="188"/>
      <c r="H802" s="188"/>
      <c r="I802" s="188"/>
      <c r="J802" s="188"/>
      <c r="K802" s="182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</row>
    <row r="803" spans="1:25" ht="15.6" x14ac:dyDescent="0.3">
      <c r="A803" s="179"/>
      <c r="B803" s="188"/>
      <c r="C803" s="189"/>
      <c r="D803" s="188"/>
      <c r="E803" s="188"/>
      <c r="F803" s="188"/>
      <c r="G803" s="188"/>
      <c r="H803" s="188"/>
      <c r="I803" s="188"/>
      <c r="J803" s="188"/>
      <c r="K803" s="182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</row>
    <row r="804" spans="1:25" ht="15.6" x14ac:dyDescent="0.3">
      <c r="A804" s="179"/>
      <c r="B804" s="188"/>
      <c r="C804" s="189"/>
      <c r="D804" s="188"/>
      <c r="E804" s="188"/>
      <c r="F804" s="188"/>
      <c r="G804" s="188"/>
      <c r="H804" s="188"/>
      <c r="I804" s="188"/>
      <c r="J804" s="188"/>
      <c r="K804" s="182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</row>
    <row r="805" spans="1:25" ht="15.6" x14ac:dyDescent="0.3">
      <c r="A805" s="179"/>
      <c r="B805" s="188"/>
      <c r="C805" s="189"/>
      <c r="D805" s="188"/>
      <c r="E805" s="188"/>
      <c r="F805" s="188"/>
      <c r="G805" s="188"/>
      <c r="H805" s="188"/>
      <c r="I805" s="188"/>
      <c r="J805" s="188"/>
      <c r="K805" s="182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</row>
    <row r="806" spans="1:25" ht="15.6" x14ac:dyDescent="0.3">
      <c r="A806" s="179"/>
      <c r="B806" s="188"/>
      <c r="C806" s="189"/>
      <c r="D806" s="188"/>
      <c r="E806" s="188"/>
      <c r="F806" s="188"/>
      <c r="G806" s="188"/>
      <c r="H806" s="188"/>
      <c r="I806" s="188"/>
      <c r="J806" s="188"/>
      <c r="K806" s="182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</row>
    <row r="807" spans="1:25" ht="15.6" x14ac:dyDescent="0.3">
      <c r="A807" s="179"/>
      <c r="B807" s="188"/>
      <c r="C807" s="189"/>
      <c r="D807" s="188"/>
      <c r="E807" s="188"/>
      <c r="F807" s="188"/>
      <c r="G807" s="188"/>
      <c r="H807" s="188"/>
      <c r="I807" s="188"/>
      <c r="J807" s="188"/>
      <c r="K807" s="182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</row>
    <row r="808" spans="1:25" ht="15.6" x14ac:dyDescent="0.3">
      <c r="A808" s="179"/>
      <c r="B808" s="188"/>
      <c r="C808" s="189"/>
      <c r="D808" s="188"/>
      <c r="E808" s="188"/>
      <c r="F808" s="188"/>
      <c r="G808" s="188"/>
      <c r="H808" s="188"/>
      <c r="I808" s="188"/>
      <c r="J808" s="188"/>
      <c r="K808" s="182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</row>
    <row r="809" spans="1:25" ht="15.6" x14ac:dyDescent="0.3">
      <c r="A809" s="179"/>
      <c r="B809" s="188"/>
      <c r="C809" s="189"/>
      <c r="D809" s="188"/>
      <c r="E809" s="188"/>
      <c r="F809" s="188"/>
      <c r="G809" s="188"/>
      <c r="H809" s="188"/>
      <c r="I809" s="188"/>
      <c r="J809" s="188"/>
      <c r="K809" s="182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</row>
    <row r="810" spans="1:25" ht="15.6" x14ac:dyDescent="0.3">
      <c r="A810" s="179"/>
      <c r="B810" s="188"/>
      <c r="C810" s="189"/>
      <c r="D810" s="188"/>
      <c r="E810" s="188"/>
      <c r="F810" s="188"/>
      <c r="G810" s="188"/>
      <c r="H810" s="188"/>
      <c r="I810" s="188"/>
      <c r="J810" s="188"/>
      <c r="K810" s="182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</row>
    <row r="811" spans="1:25" ht="15.6" x14ac:dyDescent="0.3">
      <c r="A811" s="179"/>
      <c r="B811" s="188"/>
      <c r="C811" s="189"/>
      <c r="D811" s="188"/>
      <c r="E811" s="188"/>
      <c r="F811" s="188"/>
      <c r="G811" s="188"/>
      <c r="H811" s="188"/>
      <c r="I811" s="188"/>
      <c r="J811" s="188"/>
      <c r="K811" s="182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</row>
    <row r="812" spans="1:25" ht="15.6" x14ac:dyDescent="0.3">
      <c r="A812" s="179"/>
      <c r="B812" s="188"/>
      <c r="C812" s="189"/>
      <c r="D812" s="188"/>
      <c r="E812" s="188"/>
      <c r="F812" s="188"/>
      <c r="G812" s="188"/>
      <c r="H812" s="188"/>
      <c r="I812" s="188"/>
      <c r="J812" s="188"/>
      <c r="K812" s="182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</row>
    <row r="813" spans="1:25" ht="15.6" x14ac:dyDescent="0.3">
      <c r="A813" s="179"/>
      <c r="B813" s="188"/>
      <c r="C813" s="189"/>
      <c r="D813" s="188"/>
      <c r="E813" s="188"/>
      <c r="F813" s="188"/>
      <c r="G813" s="188"/>
      <c r="H813" s="188"/>
      <c r="I813" s="188"/>
      <c r="J813" s="188"/>
      <c r="K813" s="182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</row>
    <row r="814" spans="1:25" ht="15.6" x14ac:dyDescent="0.3">
      <c r="A814" s="179"/>
      <c r="B814" s="188"/>
      <c r="C814" s="189"/>
      <c r="D814" s="188"/>
      <c r="E814" s="188"/>
      <c r="F814" s="188"/>
      <c r="G814" s="188"/>
      <c r="H814" s="188"/>
      <c r="I814" s="188"/>
      <c r="J814" s="188"/>
      <c r="K814" s="182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</row>
    <row r="815" spans="1:25" ht="15.6" x14ac:dyDescent="0.3">
      <c r="A815" s="179"/>
      <c r="B815" s="188"/>
      <c r="C815" s="189"/>
      <c r="D815" s="188"/>
      <c r="E815" s="188"/>
      <c r="F815" s="188"/>
      <c r="G815" s="188"/>
      <c r="H815" s="188"/>
      <c r="I815" s="188"/>
      <c r="J815" s="188"/>
      <c r="K815" s="182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</row>
    <row r="816" spans="1:25" ht="15.6" x14ac:dyDescent="0.3">
      <c r="A816" s="179"/>
      <c r="B816" s="188"/>
      <c r="C816" s="189"/>
      <c r="D816" s="188"/>
      <c r="E816" s="188"/>
      <c r="F816" s="188"/>
      <c r="G816" s="188"/>
      <c r="H816" s="188"/>
      <c r="I816" s="188"/>
      <c r="J816" s="188"/>
      <c r="K816" s="182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</row>
    <row r="817" spans="1:25" ht="15.6" x14ac:dyDescent="0.3">
      <c r="A817" s="179"/>
      <c r="B817" s="188"/>
      <c r="C817" s="189"/>
      <c r="D817" s="188"/>
      <c r="E817" s="188"/>
      <c r="F817" s="188"/>
      <c r="G817" s="188"/>
      <c r="H817" s="188"/>
      <c r="I817" s="188"/>
      <c r="J817" s="188"/>
      <c r="K817" s="182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</row>
    <row r="818" spans="1:25" ht="15.6" x14ac:dyDescent="0.3">
      <c r="A818" s="179"/>
      <c r="B818" s="188"/>
      <c r="C818" s="189"/>
      <c r="D818" s="188"/>
      <c r="E818" s="188"/>
      <c r="F818" s="188"/>
      <c r="G818" s="188"/>
      <c r="H818" s="188"/>
      <c r="I818" s="188"/>
      <c r="J818" s="188"/>
      <c r="K818" s="182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</row>
    <row r="819" spans="1:25" ht="15.6" x14ac:dyDescent="0.3">
      <c r="A819" s="179"/>
      <c r="B819" s="188"/>
      <c r="C819" s="189"/>
      <c r="D819" s="188"/>
      <c r="E819" s="188"/>
      <c r="F819" s="188"/>
      <c r="G819" s="188"/>
      <c r="H819" s="188"/>
      <c r="I819" s="188"/>
      <c r="J819" s="188"/>
      <c r="K819" s="182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</row>
    <row r="820" spans="1:25" ht="15.6" x14ac:dyDescent="0.3">
      <c r="A820" s="179"/>
      <c r="B820" s="188"/>
      <c r="C820" s="189"/>
      <c r="D820" s="188"/>
      <c r="E820" s="188"/>
      <c r="F820" s="188"/>
      <c r="G820" s="188"/>
      <c r="H820" s="188"/>
      <c r="I820" s="188"/>
      <c r="J820" s="188"/>
      <c r="K820" s="182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</row>
    <row r="821" spans="1:25" ht="15.6" x14ac:dyDescent="0.3">
      <c r="A821" s="179"/>
      <c r="B821" s="188"/>
      <c r="C821" s="189"/>
      <c r="D821" s="188"/>
      <c r="E821" s="188"/>
      <c r="F821" s="188"/>
      <c r="G821" s="188"/>
      <c r="H821" s="188"/>
      <c r="I821" s="188"/>
      <c r="J821" s="188"/>
      <c r="K821" s="182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</row>
    <row r="822" spans="1:25" ht="15.6" x14ac:dyDescent="0.3">
      <c r="A822" s="179"/>
      <c r="B822" s="188"/>
      <c r="C822" s="189"/>
      <c r="D822" s="188"/>
      <c r="E822" s="188"/>
      <c r="F822" s="188"/>
      <c r="G822" s="188"/>
      <c r="H822" s="188"/>
      <c r="I822" s="188"/>
      <c r="J822" s="188"/>
      <c r="K822" s="182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</row>
    <row r="823" spans="1:25" ht="15.6" x14ac:dyDescent="0.3">
      <c r="A823" s="179"/>
      <c r="B823" s="188"/>
      <c r="C823" s="189"/>
      <c r="D823" s="188"/>
      <c r="E823" s="188"/>
      <c r="F823" s="188"/>
      <c r="G823" s="188"/>
      <c r="H823" s="188"/>
      <c r="I823" s="188"/>
      <c r="J823" s="188"/>
      <c r="K823" s="182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</row>
    <row r="824" spans="1:25" ht="15.6" x14ac:dyDescent="0.3">
      <c r="A824" s="179"/>
      <c r="B824" s="188"/>
      <c r="C824" s="189"/>
      <c r="D824" s="188"/>
      <c r="E824" s="188"/>
      <c r="F824" s="188"/>
      <c r="G824" s="188"/>
      <c r="H824" s="188"/>
      <c r="I824" s="188"/>
      <c r="J824" s="188"/>
      <c r="K824" s="182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</row>
    <row r="825" spans="1:25" ht="15.6" x14ac:dyDescent="0.3">
      <c r="A825" s="179"/>
      <c r="B825" s="188"/>
      <c r="C825" s="189"/>
      <c r="D825" s="188"/>
      <c r="E825" s="188"/>
      <c r="F825" s="188"/>
      <c r="G825" s="188"/>
      <c r="H825" s="188"/>
      <c r="I825" s="188"/>
      <c r="J825" s="188"/>
      <c r="K825" s="182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</row>
    <row r="826" spans="1:25" ht="15.6" x14ac:dyDescent="0.3">
      <c r="A826" s="179"/>
      <c r="B826" s="188"/>
      <c r="C826" s="189"/>
      <c r="D826" s="188"/>
      <c r="E826" s="188"/>
      <c r="F826" s="188"/>
      <c r="G826" s="188"/>
      <c r="H826" s="188"/>
      <c r="I826" s="188"/>
      <c r="J826" s="188"/>
      <c r="K826" s="182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</row>
    <row r="827" spans="1:25" ht="15.6" x14ac:dyDescent="0.3">
      <c r="A827" s="179"/>
      <c r="B827" s="188"/>
      <c r="C827" s="189"/>
      <c r="D827" s="188"/>
      <c r="E827" s="188"/>
      <c r="F827" s="188"/>
      <c r="G827" s="188"/>
      <c r="H827" s="188"/>
      <c r="I827" s="188"/>
      <c r="J827" s="188"/>
      <c r="K827" s="182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</row>
    <row r="828" spans="1:25" ht="15.6" x14ac:dyDescent="0.3">
      <c r="A828" s="179"/>
      <c r="B828" s="188"/>
      <c r="C828" s="189"/>
      <c r="D828" s="188"/>
      <c r="E828" s="188"/>
      <c r="F828" s="188"/>
      <c r="G828" s="188"/>
      <c r="H828" s="188"/>
      <c r="I828" s="188"/>
      <c r="J828" s="188"/>
      <c r="K828" s="182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</row>
    <row r="829" spans="1:25" ht="15.6" x14ac:dyDescent="0.3">
      <c r="A829" s="179"/>
      <c r="B829" s="188"/>
      <c r="C829" s="189"/>
      <c r="D829" s="188"/>
      <c r="E829" s="188"/>
      <c r="F829" s="188"/>
      <c r="G829" s="188"/>
      <c r="H829" s="188"/>
      <c r="I829" s="188"/>
      <c r="J829" s="188"/>
      <c r="K829" s="182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</row>
    <row r="830" spans="1:25" ht="15.6" x14ac:dyDescent="0.3">
      <c r="A830" s="179"/>
      <c r="B830" s="188"/>
      <c r="C830" s="189"/>
      <c r="D830" s="188"/>
      <c r="E830" s="188"/>
      <c r="F830" s="188"/>
      <c r="G830" s="188"/>
      <c r="H830" s="188"/>
      <c r="I830" s="188"/>
      <c r="J830" s="188"/>
      <c r="K830" s="182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</row>
    <row r="831" spans="1:25" ht="15.6" x14ac:dyDescent="0.3">
      <c r="A831" s="179"/>
      <c r="B831" s="188"/>
      <c r="C831" s="189"/>
      <c r="D831" s="188"/>
      <c r="E831" s="188"/>
      <c r="F831" s="188"/>
      <c r="G831" s="188"/>
      <c r="H831" s="188"/>
      <c r="I831" s="188"/>
      <c r="J831" s="188"/>
      <c r="K831" s="182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</row>
    <row r="832" spans="1:25" ht="15.6" x14ac:dyDescent="0.3">
      <c r="A832" s="179"/>
      <c r="B832" s="188"/>
      <c r="C832" s="189"/>
      <c r="D832" s="188"/>
      <c r="E832" s="188"/>
      <c r="F832" s="188"/>
      <c r="G832" s="188"/>
      <c r="H832" s="188"/>
      <c r="I832" s="188"/>
      <c r="J832" s="188"/>
      <c r="K832" s="182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</row>
    <row r="833" spans="1:25" ht="15.6" x14ac:dyDescent="0.3">
      <c r="A833" s="179"/>
      <c r="B833" s="188"/>
      <c r="C833" s="189"/>
      <c r="D833" s="188"/>
      <c r="E833" s="188"/>
      <c r="F833" s="188"/>
      <c r="G833" s="188"/>
      <c r="H833" s="188"/>
      <c r="I833" s="188"/>
      <c r="J833" s="188"/>
      <c r="K833" s="182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</row>
    <row r="834" spans="1:25" ht="15.6" x14ac:dyDescent="0.3">
      <c r="A834" s="179"/>
      <c r="B834" s="188"/>
      <c r="C834" s="189"/>
      <c r="D834" s="188"/>
      <c r="E834" s="188"/>
      <c r="F834" s="188"/>
      <c r="G834" s="188"/>
      <c r="H834" s="188"/>
      <c r="I834" s="188"/>
      <c r="J834" s="188"/>
      <c r="K834" s="182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</row>
    <row r="835" spans="1:25" ht="15.6" x14ac:dyDescent="0.3">
      <c r="A835" s="179"/>
      <c r="B835" s="188"/>
      <c r="C835" s="189"/>
      <c r="D835" s="188"/>
      <c r="E835" s="188"/>
      <c r="F835" s="188"/>
      <c r="G835" s="188"/>
      <c r="H835" s="188"/>
      <c r="I835" s="188"/>
      <c r="J835" s="188"/>
      <c r="K835" s="182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</row>
    <row r="836" spans="1:25" ht="15.6" x14ac:dyDescent="0.3">
      <c r="A836" s="179"/>
      <c r="B836" s="188"/>
      <c r="C836" s="189"/>
      <c r="D836" s="188"/>
      <c r="E836" s="188"/>
      <c r="F836" s="188"/>
      <c r="G836" s="188"/>
      <c r="H836" s="188"/>
      <c r="I836" s="188"/>
      <c r="J836" s="188"/>
      <c r="K836" s="182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</row>
    <row r="837" spans="1:25" ht="15.6" x14ac:dyDescent="0.3">
      <c r="A837" s="179"/>
      <c r="B837" s="188"/>
      <c r="C837" s="189"/>
      <c r="D837" s="188"/>
      <c r="E837" s="188"/>
      <c r="F837" s="188"/>
      <c r="G837" s="188"/>
      <c r="H837" s="188"/>
      <c r="I837" s="188"/>
      <c r="J837" s="188"/>
      <c r="K837" s="182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</row>
    <row r="838" spans="1:25" ht="15.6" x14ac:dyDescent="0.3">
      <c r="A838" s="179"/>
      <c r="B838" s="188"/>
      <c r="C838" s="189"/>
      <c r="D838" s="188"/>
      <c r="E838" s="188"/>
      <c r="F838" s="188"/>
      <c r="G838" s="188"/>
      <c r="H838" s="188"/>
      <c r="I838" s="188"/>
      <c r="J838" s="188"/>
      <c r="K838" s="182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</row>
    <row r="839" spans="1:25" ht="15.6" x14ac:dyDescent="0.3">
      <c r="A839" s="179"/>
      <c r="B839" s="188"/>
      <c r="C839" s="189"/>
      <c r="D839" s="188"/>
      <c r="E839" s="188"/>
      <c r="F839" s="188"/>
      <c r="G839" s="188"/>
      <c r="H839" s="188"/>
      <c r="I839" s="188"/>
      <c r="J839" s="188"/>
      <c r="K839" s="182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</row>
    <row r="840" spans="1:25" ht="15.6" x14ac:dyDescent="0.3">
      <c r="A840" s="179"/>
      <c r="B840" s="188"/>
      <c r="C840" s="189"/>
      <c r="D840" s="188"/>
      <c r="E840" s="188"/>
      <c r="F840" s="188"/>
      <c r="G840" s="188"/>
      <c r="H840" s="188"/>
      <c r="I840" s="188"/>
      <c r="J840" s="188"/>
      <c r="K840" s="182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</row>
    <row r="841" spans="1:25" ht="15.6" x14ac:dyDescent="0.3">
      <c r="A841" s="179"/>
      <c r="B841" s="188"/>
      <c r="C841" s="189"/>
      <c r="D841" s="188"/>
      <c r="E841" s="188"/>
      <c r="F841" s="188"/>
      <c r="G841" s="188"/>
      <c r="H841" s="188"/>
      <c r="I841" s="188"/>
      <c r="J841" s="188"/>
      <c r="K841" s="182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</row>
    <row r="842" spans="1:25" ht="15.6" x14ac:dyDescent="0.3">
      <c r="A842" s="179"/>
      <c r="B842" s="188"/>
      <c r="C842" s="189"/>
      <c r="D842" s="188"/>
      <c r="E842" s="188"/>
      <c r="F842" s="188"/>
      <c r="G842" s="188"/>
      <c r="H842" s="188"/>
      <c r="I842" s="188"/>
      <c r="J842" s="188"/>
      <c r="K842" s="182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</row>
    <row r="843" spans="1:25" ht="15.6" x14ac:dyDescent="0.3">
      <c r="A843" s="179"/>
      <c r="B843" s="188"/>
      <c r="C843" s="189"/>
      <c r="D843" s="188"/>
      <c r="E843" s="188"/>
      <c r="F843" s="188"/>
      <c r="G843" s="188"/>
      <c r="H843" s="188"/>
      <c r="I843" s="188"/>
      <c r="J843" s="188"/>
      <c r="K843" s="182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</row>
    <row r="844" spans="1:25" ht="15.6" x14ac:dyDescent="0.3">
      <c r="A844" s="179"/>
      <c r="B844" s="188"/>
      <c r="C844" s="189"/>
      <c r="D844" s="188"/>
      <c r="E844" s="188"/>
      <c r="F844" s="188"/>
      <c r="G844" s="188"/>
      <c r="H844" s="188"/>
      <c r="I844" s="188"/>
      <c r="J844" s="188"/>
      <c r="K844" s="182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</row>
    <row r="845" spans="1:25" ht="15.6" x14ac:dyDescent="0.3">
      <c r="A845" s="179"/>
      <c r="B845" s="188"/>
      <c r="C845" s="189"/>
      <c r="D845" s="188"/>
      <c r="E845" s="188"/>
      <c r="F845" s="188"/>
      <c r="G845" s="188"/>
      <c r="H845" s="188"/>
      <c r="I845" s="188"/>
      <c r="J845" s="188"/>
      <c r="K845" s="182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</row>
    <row r="846" spans="1:25" ht="15.6" x14ac:dyDescent="0.3">
      <c r="A846" s="179"/>
      <c r="B846" s="188"/>
      <c r="C846" s="189"/>
      <c r="D846" s="188"/>
      <c r="E846" s="188"/>
      <c r="F846" s="188"/>
      <c r="G846" s="188"/>
      <c r="H846" s="188"/>
      <c r="I846" s="188"/>
      <c r="J846" s="188"/>
      <c r="K846" s="182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</row>
    <row r="847" spans="1:25" ht="15.6" x14ac:dyDescent="0.3">
      <c r="A847" s="179"/>
      <c r="B847" s="188"/>
      <c r="C847" s="189"/>
      <c r="D847" s="188"/>
      <c r="E847" s="188"/>
      <c r="F847" s="188"/>
      <c r="G847" s="188"/>
      <c r="H847" s="188"/>
      <c r="I847" s="188"/>
      <c r="J847" s="188"/>
      <c r="K847" s="182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</row>
    <row r="848" spans="1:25" ht="15.6" x14ac:dyDescent="0.3">
      <c r="A848" s="179"/>
      <c r="B848" s="188"/>
      <c r="C848" s="189"/>
      <c r="D848" s="188"/>
      <c r="E848" s="188"/>
      <c r="F848" s="188"/>
      <c r="G848" s="188"/>
      <c r="H848" s="188"/>
      <c r="I848" s="188"/>
      <c r="J848" s="188"/>
      <c r="K848" s="182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</row>
    <row r="849" spans="1:25" ht="15.6" x14ac:dyDescent="0.3">
      <c r="A849" s="179"/>
      <c r="B849" s="188"/>
      <c r="C849" s="189"/>
      <c r="D849" s="188"/>
      <c r="E849" s="188"/>
      <c r="F849" s="188"/>
      <c r="G849" s="188"/>
      <c r="H849" s="188"/>
      <c r="I849" s="188"/>
      <c r="J849" s="188"/>
      <c r="K849" s="182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</row>
    <row r="850" spans="1:25" ht="15.6" x14ac:dyDescent="0.3">
      <c r="A850" s="179"/>
      <c r="B850" s="188"/>
      <c r="C850" s="189"/>
      <c r="D850" s="188"/>
      <c r="E850" s="188"/>
      <c r="F850" s="188"/>
      <c r="G850" s="188"/>
      <c r="H850" s="188"/>
      <c r="I850" s="188"/>
      <c r="J850" s="188"/>
      <c r="K850" s="182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</row>
    <row r="851" spans="1:25" ht="15.6" x14ac:dyDescent="0.3">
      <c r="A851" s="179"/>
      <c r="B851" s="188"/>
      <c r="C851" s="189"/>
      <c r="D851" s="188"/>
      <c r="E851" s="188"/>
      <c r="F851" s="188"/>
      <c r="G851" s="188"/>
      <c r="H851" s="188"/>
      <c r="I851" s="188"/>
      <c r="J851" s="188"/>
      <c r="K851" s="182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</row>
    <row r="852" spans="1:25" ht="15.6" x14ac:dyDescent="0.3">
      <c r="A852" s="179"/>
      <c r="B852" s="188"/>
      <c r="C852" s="189"/>
      <c r="D852" s="188"/>
      <c r="E852" s="188"/>
      <c r="F852" s="188"/>
      <c r="G852" s="188"/>
      <c r="H852" s="188"/>
      <c r="I852" s="188"/>
      <c r="J852" s="188"/>
      <c r="K852" s="182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</row>
    <row r="853" spans="1:25" ht="15.6" x14ac:dyDescent="0.3">
      <c r="A853" s="179"/>
      <c r="B853" s="188"/>
      <c r="C853" s="189"/>
      <c r="D853" s="188"/>
      <c r="E853" s="188"/>
      <c r="F853" s="188"/>
      <c r="G853" s="188"/>
      <c r="H853" s="188"/>
      <c r="I853" s="188"/>
      <c r="J853" s="188"/>
      <c r="K853" s="182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</row>
    <row r="854" spans="1:25" ht="15.6" x14ac:dyDescent="0.3">
      <c r="A854" s="179"/>
      <c r="B854" s="188"/>
      <c r="C854" s="189"/>
      <c r="D854" s="188"/>
      <c r="E854" s="188"/>
      <c r="F854" s="188"/>
      <c r="G854" s="188"/>
      <c r="H854" s="188"/>
      <c r="I854" s="188"/>
      <c r="J854" s="188"/>
      <c r="K854" s="182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</row>
    <row r="855" spans="1:25" ht="15.6" x14ac:dyDescent="0.3">
      <c r="A855" s="179"/>
      <c r="B855" s="188"/>
      <c r="C855" s="189"/>
      <c r="D855" s="188"/>
      <c r="E855" s="188"/>
      <c r="F855" s="188"/>
      <c r="G855" s="188"/>
      <c r="H855" s="188"/>
      <c r="I855" s="188"/>
      <c r="J855" s="188"/>
      <c r="K855" s="182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</row>
    <row r="856" spans="1:25" ht="15.6" x14ac:dyDescent="0.3">
      <c r="A856" s="179"/>
      <c r="B856" s="188"/>
      <c r="C856" s="189"/>
      <c r="D856" s="188"/>
      <c r="E856" s="188"/>
      <c r="F856" s="188"/>
      <c r="G856" s="188"/>
      <c r="H856" s="188"/>
      <c r="I856" s="188"/>
      <c r="J856" s="188"/>
      <c r="K856" s="182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</row>
    <row r="857" spans="1:25" ht="15.6" x14ac:dyDescent="0.3">
      <c r="A857" s="179"/>
      <c r="B857" s="188"/>
      <c r="C857" s="189"/>
      <c r="D857" s="188"/>
      <c r="E857" s="188"/>
      <c r="F857" s="188"/>
      <c r="G857" s="188"/>
      <c r="H857" s="188"/>
      <c r="I857" s="188"/>
      <c r="J857" s="188"/>
      <c r="K857" s="182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</row>
    <row r="858" spans="1:25" ht="15.6" x14ac:dyDescent="0.3">
      <c r="A858" s="179"/>
      <c r="B858" s="188"/>
      <c r="C858" s="189"/>
      <c r="D858" s="188"/>
      <c r="E858" s="188"/>
      <c r="F858" s="188"/>
      <c r="G858" s="188"/>
      <c r="H858" s="188"/>
      <c r="I858" s="188"/>
      <c r="J858" s="188"/>
      <c r="K858" s="182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</row>
    <row r="859" spans="1:25" ht="15.6" x14ac:dyDescent="0.3">
      <c r="A859" s="179"/>
      <c r="B859" s="188"/>
      <c r="C859" s="189"/>
      <c r="D859" s="188"/>
      <c r="E859" s="188"/>
      <c r="F859" s="188"/>
      <c r="G859" s="188"/>
      <c r="H859" s="188"/>
      <c r="I859" s="188"/>
      <c r="J859" s="188"/>
      <c r="K859" s="182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</row>
    <row r="860" spans="1:25" ht="15.6" x14ac:dyDescent="0.3">
      <c r="A860" s="179"/>
      <c r="B860" s="188"/>
      <c r="C860" s="189"/>
      <c r="D860" s="188"/>
      <c r="E860" s="188"/>
      <c r="F860" s="188"/>
      <c r="G860" s="188"/>
      <c r="H860" s="188"/>
      <c r="I860" s="188"/>
      <c r="J860" s="188"/>
      <c r="K860" s="182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</row>
    <row r="861" spans="1:25" ht="15.6" x14ac:dyDescent="0.3">
      <c r="A861" s="179"/>
      <c r="B861" s="188"/>
      <c r="C861" s="189"/>
      <c r="D861" s="188"/>
      <c r="E861" s="188"/>
      <c r="F861" s="188"/>
      <c r="G861" s="188"/>
      <c r="H861" s="188"/>
      <c r="I861" s="188"/>
      <c r="J861" s="188"/>
      <c r="K861" s="182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</row>
    <row r="862" spans="1:25" ht="15.6" x14ac:dyDescent="0.3">
      <c r="A862" s="179"/>
      <c r="B862" s="188"/>
      <c r="C862" s="189"/>
      <c r="D862" s="188"/>
      <c r="E862" s="188"/>
      <c r="F862" s="188"/>
      <c r="G862" s="188"/>
      <c r="H862" s="188"/>
      <c r="I862" s="188"/>
      <c r="J862" s="188"/>
      <c r="K862" s="182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</row>
    <row r="863" spans="1:25" ht="15.6" x14ac:dyDescent="0.3">
      <c r="A863" s="179"/>
      <c r="B863" s="188"/>
      <c r="C863" s="189"/>
      <c r="D863" s="188"/>
      <c r="E863" s="188"/>
      <c r="F863" s="188"/>
      <c r="G863" s="188"/>
      <c r="H863" s="188"/>
      <c r="I863" s="188"/>
      <c r="J863" s="188"/>
      <c r="K863" s="182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</row>
    <row r="864" spans="1:25" ht="15.6" x14ac:dyDescent="0.3">
      <c r="A864" s="179"/>
      <c r="B864" s="188"/>
      <c r="C864" s="189"/>
      <c r="D864" s="188"/>
      <c r="E864" s="188"/>
      <c r="F864" s="188"/>
      <c r="G864" s="188"/>
      <c r="H864" s="188"/>
      <c r="I864" s="188"/>
      <c r="J864" s="188"/>
      <c r="K864" s="182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</row>
    <row r="865" spans="1:25" ht="15.6" x14ac:dyDescent="0.3">
      <c r="A865" s="179"/>
      <c r="B865" s="188"/>
      <c r="C865" s="189"/>
      <c r="D865" s="188"/>
      <c r="E865" s="188"/>
      <c r="F865" s="188"/>
      <c r="G865" s="188"/>
      <c r="H865" s="188"/>
      <c r="I865" s="188"/>
      <c r="J865" s="188"/>
      <c r="K865" s="182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</row>
    <row r="866" spans="1:25" ht="15.6" x14ac:dyDescent="0.3">
      <c r="A866" s="179"/>
      <c r="B866" s="188"/>
      <c r="C866" s="189"/>
      <c r="D866" s="188"/>
      <c r="E866" s="188"/>
      <c r="F866" s="188"/>
      <c r="G866" s="188"/>
      <c r="H866" s="188"/>
      <c r="I866" s="188"/>
      <c r="J866" s="188"/>
      <c r="K866" s="182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</row>
    <row r="867" spans="1:25" ht="15.6" x14ac:dyDescent="0.3">
      <c r="A867" s="179"/>
      <c r="B867" s="188"/>
      <c r="C867" s="189"/>
      <c r="D867" s="188"/>
      <c r="E867" s="188"/>
      <c r="F867" s="188"/>
      <c r="G867" s="188"/>
      <c r="H867" s="188"/>
      <c r="I867" s="188"/>
      <c r="J867" s="188"/>
      <c r="K867" s="182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</row>
    <row r="868" spans="1:25" ht="15.6" x14ac:dyDescent="0.3">
      <c r="A868" s="179"/>
      <c r="B868" s="188"/>
      <c r="C868" s="189"/>
      <c r="D868" s="188"/>
      <c r="E868" s="188"/>
      <c r="F868" s="188"/>
      <c r="G868" s="188"/>
      <c r="H868" s="188"/>
      <c r="I868" s="188"/>
      <c r="J868" s="188"/>
      <c r="K868" s="182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</row>
    <row r="869" spans="1:25" ht="15.6" x14ac:dyDescent="0.3">
      <c r="A869" s="179"/>
      <c r="B869" s="188"/>
      <c r="C869" s="189"/>
      <c r="D869" s="188"/>
      <c r="E869" s="188"/>
      <c r="F869" s="188"/>
      <c r="G869" s="188"/>
      <c r="H869" s="188"/>
      <c r="I869" s="188"/>
      <c r="J869" s="188"/>
      <c r="K869" s="182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</row>
    <row r="870" spans="1:25" ht="15.6" x14ac:dyDescent="0.3">
      <c r="A870" s="179"/>
      <c r="B870" s="188"/>
      <c r="C870" s="189"/>
      <c r="D870" s="188"/>
      <c r="E870" s="188"/>
      <c r="F870" s="188"/>
      <c r="G870" s="188"/>
      <c r="H870" s="188"/>
      <c r="I870" s="188"/>
      <c r="J870" s="188"/>
      <c r="K870" s="182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</row>
    <row r="871" spans="1:25" ht="15.6" x14ac:dyDescent="0.3">
      <c r="A871" s="179"/>
      <c r="B871" s="188"/>
      <c r="C871" s="189"/>
      <c r="D871" s="188"/>
      <c r="E871" s="188"/>
      <c r="F871" s="188"/>
      <c r="G871" s="188"/>
      <c r="H871" s="188"/>
      <c r="I871" s="188"/>
      <c r="J871" s="188"/>
      <c r="K871" s="182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</row>
    <row r="872" spans="1:25" ht="15.6" x14ac:dyDescent="0.3">
      <c r="A872" s="179"/>
      <c r="B872" s="188"/>
      <c r="C872" s="189"/>
      <c r="D872" s="188"/>
      <c r="E872" s="188"/>
      <c r="F872" s="188"/>
      <c r="G872" s="188"/>
      <c r="H872" s="188"/>
      <c r="I872" s="188"/>
      <c r="J872" s="188"/>
      <c r="K872" s="182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</row>
    <row r="873" spans="1:25" ht="15.6" x14ac:dyDescent="0.3">
      <c r="A873" s="179"/>
      <c r="B873" s="188"/>
      <c r="C873" s="189"/>
      <c r="D873" s="188"/>
      <c r="E873" s="188"/>
      <c r="F873" s="188"/>
      <c r="G873" s="188"/>
      <c r="H873" s="188"/>
      <c r="I873" s="188"/>
      <c r="J873" s="188"/>
      <c r="K873" s="182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</row>
    <row r="874" spans="1:25" ht="15.6" x14ac:dyDescent="0.3">
      <c r="A874" s="179"/>
      <c r="B874" s="188"/>
      <c r="C874" s="189"/>
      <c r="D874" s="188"/>
      <c r="E874" s="188"/>
      <c r="F874" s="188"/>
      <c r="G874" s="188"/>
      <c r="H874" s="188"/>
      <c r="I874" s="188"/>
      <c r="J874" s="188"/>
      <c r="K874" s="182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</row>
    <row r="875" spans="1:25" ht="15.6" x14ac:dyDescent="0.3">
      <c r="A875" s="179"/>
      <c r="B875" s="188"/>
      <c r="C875" s="189"/>
      <c r="D875" s="188"/>
      <c r="E875" s="188"/>
      <c r="F875" s="188"/>
      <c r="G875" s="188"/>
      <c r="H875" s="188"/>
      <c r="I875" s="188"/>
      <c r="J875" s="188"/>
      <c r="K875" s="182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</row>
    <row r="876" spans="1:25" ht="15.6" x14ac:dyDescent="0.3">
      <c r="A876" s="179"/>
      <c r="B876" s="188"/>
      <c r="C876" s="189"/>
      <c r="D876" s="188"/>
      <c r="E876" s="188"/>
      <c r="F876" s="188"/>
      <c r="G876" s="188"/>
      <c r="H876" s="188"/>
      <c r="I876" s="188"/>
      <c r="J876" s="188"/>
      <c r="K876" s="182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</row>
    <row r="877" spans="1:25" ht="15.6" x14ac:dyDescent="0.3">
      <c r="A877" s="179"/>
      <c r="B877" s="188"/>
      <c r="C877" s="189"/>
      <c r="D877" s="188"/>
      <c r="E877" s="188"/>
      <c r="F877" s="188"/>
      <c r="G877" s="188"/>
      <c r="H877" s="188"/>
      <c r="I877" s="188"/>
      <c r="J877" s="188"/>
      <c r="K877" s="182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</row>
    <row r="878" spans="1:25" ht="15.6" x14ac:dyDescent="0.3">
      <c r="A878" s="179"/>
      <c r="B878" s="188"/>
      <c r="C878" s="189"/>
      <c r="D878" s="188"/>
      <c r="E878" s="188"/>
      <c r="F878" s="188"/>
      <c r="G878" s="188"/>
      <c r="H878" s="188"/>
      <c r="I878" s="188"/>
      <c r="J878" s="188"/>
      <c r="K878" s="182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</row>
    <row r="879" spans="1:25" ht="15.6" x14ac:dyDescent="0.3">
      <c r="A879" s="179"/>
      <c r="B879" s="188"/>
      <c r="C879" s="189"/>
      <c r="D879" s="188"/>
      <c r="E879" s="188"/>
      <c r="F879" s="188"/>
      <c r="G879" s="188"/>
      <c r="H879" s="188"/>
      <c r="I879" s="188"/>
      <c r="J879" s="188"/>
      <c r="K879" s="182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</row>
    <row r="880" spans="1:25" ht="15.6" x14ac:dyDescent="0.3">
      <c r="A880" s="179"/>
      <c r="B880" s="188"/>
      <c r="C880" s="189"/>
      <c r="D880" s="188"/>
      <c r="E880" s="188"/>
      <c r="F880" s="188"/>
      <c r="G880" s="188"/>
      <c r="H880" s="188"/>
      <c r="I880" s="188"/>
      <c r="J880" s="188"/>
      <c r="K880" s="182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</row>
    <row r="881" spans="1:25" ht="15.6" x14ac:dyDescent="0.3">
      <c r="A881" s="179"/>
      <c r="B881" s="188"/>
      <c r="C881" s="189"/>
      <c r="D881" s="188"/>
      <c r="E881" s="188"/>
      <c r="F881" s="188"/>
      <c r="G881" s="188"/>
      <c r="H881" s="188"/>
      <c r="I881" s="188"/>
      <c r="J881" s="188"/>
      <c r="K881" s="182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</row>
    <row r="882" spans="1:25" ht="15.6" x14ac:dyDescent="0.3">
      <c r="A882" s="179"/>
      <c r="B882" s="188"/>
      <c r="C882" s="189"/>
      <c r="D882" s="188"/>
      <c r="E882" s="188"/>
      <c r="F882" s="188"/>
      <c r="G882" s="188"/>
      <c r="H882" s="188"/>
      <c r="I882" s="188"/>
      <c r="J882" s="188"/>
      <c r="K882" s="182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</row>
    <row r="883" spans="1:25" ht="15.6" x14ac:dyDescent="0.3">
      <c r="A883" s="179"/>
      <c r="B883" s="188"/>
      <c r="C883" s="189"/>
      <c r="D883" s="188"/>
      <c r="E883" s="188"/>
      <c r="F883" s="188"/>
      <c r="G883" s="188"/>
      <c r="H883" s="188"/>
      <c r="I883" s="188"/>
      <c r="J883" s="188"/>
      <c r="K883" s="182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</row>
    <row r="884" spans="1:25" ht="15.6" x14ac:dyDescent="0.3">
      <c r="A884" s="179"/>
      <c r="B884" s="188"/>
      <c r="C884" s="189"/>
      <c r="D884" s="188"/>
      <c r="E884" s="188"/>
      <c r="F884" s="188"/>
      <c r="G884" s="188"/>
      <c r="H884" s="188"/>
      <c r="I884" s="188"/>
      <c r="J884" s="188"/>
      <c r="K884" s="182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</row>
    <row r="885" spans="1:25" ht="15.6" x14ac:dyDescent="0.3">
      <c r="A885" s="179"/>
      <c r="B885" s="188"/>
      <c r="C885" s="189"/>
      <c r="D885" s="188"/>
      <c r="E885" s="188"/>
      <c r="F885" s="188"/>
      <c r="G885" s="188"/>
      <c r="H885" s="188"/>
      <c r="I885" s="188"/>
      <c r="J885" s="188"/>
      <c r="K885" s="182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</row>
    <row r="886" spans="1:25" ht="15.6" x14ac:dyDescent="0.3">
      <c r="A886" s="179"/>
      <c r="B886" s="188"/>
      <c r="C886" s="189"/>
      <c r="D886" s="188"/>
      <c r="E886" s="188"/>
      <c r="F886" s="188"/>
      <c r="G886" s="188"/>
      <c r="H886" s="188"/>
      <c r="I886" s="188"/>
      <c r="J886" s="188"/>
      <c r="K886" s="182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</row>
    <row r="887" spans="1:25" ht="15.6" x14ac:dyDescent="0.3">
      <c r="A887" s="179"/>
      <c r="B887" s="188"/>
      <c r="C887" s="189"/>
      <c r="D887" s="188"/>
      <c r="E887" s="188"/>
      <c r="F887" s="188"/>
      <c r="G887" s="188"/>
      <c r="H887" s="188"/>
      <c r="I887" s="188"/>
      <c r="J887" s="188"/>
      <c r="K887" s="182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</row>
    <row r="888" spans="1:25" ht="15.6" x14ac:dyDescent="0.3">
      <c r="A888" s="179"/>
      <c r="B888" s="188"/>
      <c r="C888" s="189"/>
      <c r="D888" s="188"/>
      <c r="E888" s="188"/>
      <c r="F888" s="188"/>
      <c r="G888" s="188"/>
      <c r="H888" s="188"/>
      <c r="I888" s="188"/>
      <c r="J888" s="188"/>
      <c r="K888" s="182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</row>
    <row r="889" spans="1:25" ht="15.6" x14ac:dyDescent="0.3">
      <c r="A889" s="179"/>
      <c r="B889" s="188"/>
      <c r="C889" s="189"/>
      <c r="D889" s="188"/>
      <c r="E889" s="188"/>
      <c r="F889" s="188"/>
      <c r="G889" s="188"/>
      <c r="H889" s="188"/>
      <c r="I889" s="188"/>
      <c r="J889" s="188"/>
      <c r="K889" s="182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</row>
    <row r="890" spans="1:25" ht="15.6" x14ac:dyDescent="0.3">
      <c r="A890" s="179"/>
      <c r="B890" s="188"/>
      <c r="C890" s="189"/>
      <c r="D890" s="188"/>
      <c r="E890" s="188"/>
      <c r="F890" s="188"/>
      <c r="G890" s="188"/>
      <c r="H890" s="188"/>
      <c r="I890" s="188"/>
      <c r="J890" s="188"/>
      <c r="K890" s="182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</row>
    <row r="891" spans="1:25" ht="15.6" x14ac:dyDescent="0.3">
      <c r="A891" s="179"/>
      <c r="B891" s="188"/>
      <c r="C891" s="189"/>
      <c r="D891" s="188"/>
      <c r="E891" s="188"/>
      <c r="F891" s="188"/>
      <c r="G891" s="188"/>
      <c r="H891" s="188"/>
      <c r="I891" s="188"/>
      <c r="J891" s="188"/>
      <c r="K891" s="182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</row>
    <row r="892" spans="1:25" ht="15.6" x14ac:dyDescent="0.3">
      <c r="A892" s="179"/>
      <c r="B892" s="188"/>
      <c r="C892" s="189"/>
      <c r="D892" s="188"/>
      <c r="E892" s="188"/>
      <c r="F892" s="188"/>
      <c r="G892" s="188"/>
      <c r="H892" s="188"/>
      <c r="I892" s="188"/>
      <c r="J892" s="188"/>
      <c r="K892" s="182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</row>
    <row r="893" spans="1:25" ht="15.6" x14ac:dyDescent="0.3">
      <c r="A893" s="179"/>
      <c r="B893" s="188"/>
      <c r="C893" s="189"/>
      <c r="D893" s="188"/>
      <c r="E893" s="188"/>
      <c r="F893" s="188"/>
      <c r="G893" s="188"/>
      <c r="H893" s="188"/>
      <c r="I893" s="188"/>
      <c r="J893" s="188"/>
      <c r="K893" s="182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</row>
    <row r="894" spans="1:25" ht="15.6" x14ac:dyDescent="0.3">
      <c r="A894" s="179"/>
      <c r="B894" s="188"/>
      <c r="C894" s="189"/>
      <c r="D894" s="188"/>
      <c r="E894" s="188"/>
      <c r="F894" s="188"/>
      <c r="G894" s="188"/>
      <c r="H894" s="188"/>
      <c r="I894" s="188"/>
      <c r="J894" s="188"/>
      <c r="K894" s="182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</row>
    <row r="895" spans="1:25" ht="15.6" x14ac:dyDescent="0.3">
      <c r="A895" s="179"/>
      <c r="B895" s="188"/>
      <c r="C895" s="189"/>
      <c r="D895" s="188"/>
      <c r="E895" s="188"/>
      <c r="F895" s="188"/>
      <c r="G895" s="188"/>
      <c r="H895" s="188"/>
      <c r="I895" s="188"/>
      <c r="J895" s="188"/>
      <c r="K895" s="182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</row>
    <row r="896" spans="1:25" ht="15.6" x14ac:dyDescent="0.3">
      <c r="A896" s="179"/>
      <c r="B896" s="188"/>
      <c r="C896" s="189"/>
      <c r="D896" s="188"/>
      <c r="E896" s="188"/>
      <c r="F896" s="188"/>
      <c r="G896" s="188"/>
      <c r="H896" s="188"/>
      <c r="I896" s="188"/>
      <c r="J896" s="188"/>
      <c r="K896" s="182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</row>
    <row r="897" spans="1:25" ht="15.6" x14ac:dyDescent="0.3">
      <c r="A897" s="179"/>
      <c r="B897" s="188"/>
      <c r="C897" s="189"/>
      <c r="D897" s="188"/>
      <c r="E897" s="188"/>
      <c r="F897" s="188"/>
      <c r="G897" s="188"/>
      <c r="H897" s="188"/>
      <c r="I897" s="188"/>
      <c r="J897" s="188"/>
      <c r="K897" s="182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</row>
    <row r="898" spans="1:25" ht="15.6" x14ac:dyDescent="0.3">
      <c r="A898" s="179"/>
      <c r="B898" s="188"/>
      <c r="C898" s="189"/>
      <c r="D898" s="188"/>
      <c r="E898" s="188"/>
      <c r="F898" s="188"/>
      <c r="G898" s="188"/>
      <c r="H898" s="188"/>
      <c r="I898" s="188"/>
      <c r="J898" s="188"/>
      <c r="K898" s="182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</row>
    <row r="899" spans="1:25" ht="15.6" x14ac:dyDescent="0.3">
      <c r="A899" s="179"/>
      <c r="B899" s="188"/>
      <c r="C899" s="189"/>
      <c r="D899" s="188"/>
      <c r="E899" s="188"/>
      <c r="F899" s="188"/>
      <c r="G899" s="188"/>
      <c r="H899" s="188"/>
      <c r="I899" s="188"/>
      <c r="J899" s="188"/>
      <c r="K899" s="182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</row>
    <row r="900" spans="1:25" ht="15.6" x14ac:dyDescent="0.3">
      <c r="A900" s="179"/>
      <c r="B900" s="188"/>
      <c r="C900" s="189"/>
      <c r="D900" s="188"/>
      <c r="E900" s="188"/>
      <c r="F900" s="188"/>
      <c r="G900" s="188"/>
      <c r="H900" s="188"/>
      <c r="I900" s="188"/>
      <c r="J900" s="188"/>
      <c r="K900" s="182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</row>
    <row r="901" spans="1:25" ht="15.6" x14ac:dyDescent="0.3">
      <c r="A901" s="179"/>
      <c r="B901" s="188"/>
      <c r="C901" s="189"/>
      <c r="D901" s="188"/>
      <c r="E901" s="188"/>
      <c r="F901" s="188"/>
      <c r="G901" s="188"/>
      <c r="H901" s="188"/>
      <c r="I901" s="188"/>
      <c r="J901" s="188"/>
      <c r="K901" s="182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</row>
    <row r="902" spans="1:25" ht="15.6" x14ac:dyDescent="0.3">
      <c r="A902" s="179"/>
      <c r="B902" s="188"/>
      <c r="C902" s="189"/>
      <c r="D902" s="188"/>
      <c r="E902" s="188"/>
      <c r="F902" s="188"/>
      <c r="G902" s="188"/>
      <c r="H902" s="188"/>
      <c r="I902" s="188"/>
      <c r="J902" s="188"/>
      <c r="K902" s="182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</row>
    <row r="903" spans="1:25" ht="15.6" x14ac:dyDescent="0.3">
      <c r="A903" s="179"/>
      <c r="B903" s="188"/>
      <c r="C903" s="189"/>
      <c r="D903" s="188"/>
      <c r="E903" s="188"/>
      <c r="F903" s="188"/>
      <c r="G903" s="188"/>
      <c r="H903" s="188"/>
      <c r="I903" s="188"/>
      <c r="J903" s="188"/>
      <c r="K903" s="182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</row>
    <row r="904" spans="1:25" ht="15.6" x14ac:dyDescent="0.3">
      <c r="A904" s="179"/>
      <c r="B904" s="188"/>
      <c r="C904" s="189"/>
      <c r="D904" s="188"/>
      <c r="E904" s="188"/>
      <c r="F904" s="188"/>
      <c r="G904" s="188"/>
      <c r="H904" s="188"/>
      <c r="I904" s="188"/>
      <c r="J904" s="188"/>
      <c r="K904" s="182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</row>
    <row r="905" spans="1:25" ht="15.6" x14ac:dyDescent="0.3">
      <c r="A905" s="179"/>
      <c r="B905" s="188"/>
      <c r="C905" s="189"/>
      <c r="D905" s="188"/>
      <c r="E905" s="188"/>
      <c r="F905" s="188"/>
      <c r="G905" s="188"/>
      <c r="H905" s="188"/>
      <c r="I905" s="188"/>
      <c r="J905" s="188"/>
      <c r="K905" s="182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</row>
    <row r="906" spans="1:25" ht="15.6" x14ac:dyDescent="0.3">
      <c r="A906" s="179"/>
      <c r="B906" s="188"/>
      <c r="C906" s="189"/>
      <c r="D906" s="188"/>
      <c r="E906" s="188"/>
      <c r="F906" s="188"/>
      <c r="G906" s="188"/>
      <c r="H906" s="188"/>
      <c r="I906" s="188"/>
      <c r="J906" s="188"/>
      <c r="K906" s="182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</row>
    <row r="907" spans="1:25" ht="15.6" x14ac:dyDescent="0.3">
      <c r="A907" s="179"/>
      <c r="B907" s="188"/>
      <c r="C907" s="189"/>
      <c r="D907" s="188"/>
      <c r="E907" s="188"/>
      <c r="F907" s="188"/>
      <c r="G907" s="188"/>
      <c r="H907" s="188"/>
      <c r="I907" s="188"/>
      <c r="J907" s="188"/>
      <c r="K907" s="182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</row>
    <row r="908" spans="1:25" ht="15.6" x14ac:dyDescent="0.3">
      <c r="A908" s="179"/>
      <c r="B908" s="188"/>
      <c r="C908" s="189"/>
      <c r="D908" s="188"/>
      <c r="E908" s="188"/>
      <c r="F908" s="188"/>
      <c r="G908" s="188"/>
      <c r="H908" s="188"/>
      <c r="I908" s="188"/>
      <c r="J908" s="188"/>
      <c r="K908" s="182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</row>
    <row r="909" spans="1:25" ht="15.6" x14ac:dyDescent="0.3">
      <c r="A909" s="179"/>
      <c r="B909" s="188"/>
      <c r="C909" s="189"/>
      <c r="D909" s="188"/>
      <c r="E909" s="188"/>
      <c r="F909" s="188"/>
      <c r="G909" s="188"/>
      <c r="H909" s="188"/>
      <c r="I909" s="188"/>
      <c r="J909" s="188"/>
      <c r="K909" s="182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</row>
    <row r="910" spans="1:25" ht="15.6" x14ac:dyDescent="0.3">
      <c r="A910" s="179"/>
      <c r="B910" s="188"/>
      <c r="C910" s="189"/>
      <c r="D910" s="188"/>
      <c r="E910" s="188"/>
      <c r="F910" s="188"/>
      <c r="G910" s="188"/>
      <c r="H910" s="188"/>
      <c r="I910" s="188"/>
      <c r="J910" s="188"/>
      <c r="K910" s="182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</row>
    <row r="911" spans="1:25" ht="15.6" x14ac:dyDescent="0.3">
      <c r="A911" s="179"/>
      <c r="B911" s="188"/>
      <c r="C911" s="189"/>
      <c r="D911" s="188"/>
      <c r="E911" s="188"/>
      <c r="F911" s="188"/>
      <c r="G911" s="188"/>
      <c r="H911" s="188"/>
      <c r="I911" s="188"/>
      <c r="J911" s="188"/>
      <c r="K911" s="182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</row>
    <row r="912" spans="1:25" ht="15.6" x14ac:dyDescent="0.3">
      <c r="A912" s="179"/>
      <c r="B912" s="188"/>
      <c r="C912" s="189"/>
      <c r="D912" s="188"/>
      <c r="E912" s="188"/>
      <c r="F912" s="188"/>
      <c r="G912" s="188"/>
      <c r="H912" s="188"/>
      <c r="I912" s="188"/>
      <c r="J912" s="188"/>
      <c r="K912" s="182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</row>
    <row r="913" spans="1:25" ht="15.6" x14ac:dyDescent="0.3">
      <c r="A913" s="179"/>
      <c r="B913" s="188"/>
      <c r="C913" s="189"/>
      <c r="D913" s="188"/>
      <c r="E913" s="188"/>
      <c r="F913" s="188"/>
      <c r="G913" s="188"/>
      <c r="H913" s="188"/>
      <c r="I913" s="188"/>
      <c r="J913" s="188"/>
      <c r="K913" s="182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</row>
    <row r="914" spans="1:25" ht="15.6" x14ac:dyDescent="0.3">
      <c r="A914" s="179"/>
      <c r="B914" s="188"/>
      <c r="C914" s="189"/>
      <c r="D914" s="188"/>
      <c r="E914" s="188"/>
      <c r="F914" s="188"/>
      <c r="G914" s="188"/>
      <c r="H914" s="188"/>
      <c r="I914" s="188"/>
      <c r="J914" s="188"/>
      <c r="K914" s="182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</row>
    <row r="915" spans="1:25" ht="15.6" x14ac:dyDescent="0.3">
      <c r="A915" s="179"/>
      <c r="B915" s="188"/>
      <c r="C915" s="189"/>
      <c r="D915" s="188"/>
      <c r="E915" s="188"/>
      <c r="F915" s="188"/>
      <c r="G915" s="188"/>
      <c r="H915" s="188"/>
      <c r="I915" s="188"/>
      <c r="J915" s="188"/>
      <c r="K915" s="182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</row>
    <row r="916" spans="1:25" ht="15.6" x14ac:dyDescent="0.3">
      <c r="A916" s="179"/>
      <c r="B916" s="188"/>
      <c r="C916" s="189"/>
      <c r="D916" s="188"/>
      <c r="E916" s="188"/>
      <c r="F916" s="188"/>
      <c r="G916" s="188"/>
      <c r="H916" s="188"/>
      <c r="I916" s="188"/>
      <c r="J916" s="188"/>
      <c r="K916" s="182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</row>
    <row r="917" spans="1:25" ht="15.6" x14ac:dyDescent="0.3">
      <c r="A917" s="179"/>
      <c r="B917" s="188"/>
      <c r="C917" s="189"/>
      <c r="D917" s="188"/>
      <c r="E917" s="188"/>
      <c r="F917" s="188"/>
      <c r="G917" s="188"/>
      <c r="H917" s="188"/>
      <c r="I917" s="188"/>
      <c r="J917" s="188"/>
      <c r="K917" s="182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</row>
    <row r="918" spans="1:25" ht="15.6" x14ac:dyDescent="0.3">
      <c r="A918" s="179"/>
      <c r="B918" s="188"/>
      <c r="C918" s="189"/>
      <c r="D918" s="188"/>
      <c r="E918" s="188"/>
      <c r="F918" s="188"/>
      <c r="G918" s="188"/>
      <c r="H918" s="188"/>
      <c r="I918" s="188"/>
      <c r="J918" s="188"/>
      <c r="K918" s="182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</row>
    <row r="919" spans="1:25" ht="15.6" x14ac:dyDescent="0.3">
      <c r="A919" s="179"/>
      <c r="B919" s="188"/>
      <c r="C919" s="189"/>
      <c r="D919" s="188"/>
      <c r="E919" s="188"/>
      <c r="F919" s="188"/>
      <c r="G919" s="188"/>
      <c r="H919" s="188"/>
      <c r="I919" s="188"/>
      <c r="J919" s="188"/>
      <c r="K919" s="182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</row>
    <row r="920" spans="1:25" ht="15.6" x14ac:dyDescent="0.3">
      <c r="A920" s="179"/>
      <c r="B920" s="188"/>
      <c r="C920" s="189"/>
      <c r="D920" s="188"/>
      <c r="E920" s="188"/>
      <c r="F920" s="188"/>
      <c r="G920" s="188"/>
      <c r="H920" s="188"/>
      <c r="I920" s="188"/>
      <c r="J920" s="188"/>
      <c r="K920" s="182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</row>
    <row r="921" spans="1:25" ht="15.6" x14ac:dyDescent="0.3">
      <c r="A921" s="179"/>
      <c r="B921" s="188"/>
      <c r="C921" s="189"/>
      <c r="D921" s="188"/>
      <c r="E921" s="188"/>
      <c r="F921" s="188"/>
      <c r="G921" s="188"/>
      <c r="H921" s="188"/>
      <c r="I921" s="188"/>
      <c r="J921" s="188"/>
      <c r="K921" s="182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</row>
    <row r="922" spans="1:25" ht="15.6" x14ac:dyDescent="0.3">
      <c r="A922" s="179"/>
      <c r="B922" s="188"/>
      <c r="C922" s="189"/>
      <c r="D922" s="188"/>
      <c r="E922" s="188"/>
      <c r="F922" s="188"/>
      <c r="G922" s="188"/>
      <c r="H922" s="188"/>
      <c r="I922" s="188"/>
      <c r="J922" s="188"/>
      <c r="K922" s="182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</row>
    <row r="923" spans="1:25" ht="15.6" x14ac:dyDescent="0.3">
      <c r="A923" s="179"/>
      <c r="B923" s="188"/>
      <c r="C923" s="189"/>
      <c r="D923" s="188"/>
      <c r="E923" s="188"/>
      <c r="F923" s="188"/>
      <c r="G923" s="188"/>
      <c r="H923" s="188"/>
      <c r="I923" s="188"/>
      <c r="J923" s="188"/>
      <c r="K923" s="182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</row>
    <row r="924" spans="1:25" ht="15.6" x14ac:dyDescent="0.3">
      <c r="A924" s="179"/>
      <c r="B924" s="188"/>
      <c r="C924" s="189"/>
      <c r="D924" s="188"/>
      <c r="E924" s="188"/>
      <c r="F924" s="188"/>
      <c r="G924" s="188"/>
      <c r="H924" s="188"/>
      <c r="I924" s="188"/>
      <c r="J924" s="188"/>
      <c r="K924" s="182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</row>
    <row r="925" spans="1:25" ht="15.6" x14ac:dyDescent="0.3">
      <c r="A925" s="179"/>
      <c r="B925" s="188"/>
      <c r="C925" s="189"/>
      <c r="D925" s="188"/>
      <c r="E925" s="188"/>
      <c r="F925" s="188"/>
      <c r="G925" s="188"/>
      <c r="H925" s="188"/>
      <c r="I925" s="188"/>
      <c r="J925" s="188"/>
      <c r="K925" s="182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</row>
    <row r="926" spans="1:25" ht="15.6" x14ac:dyDescent="0.3">
      <c r="A926" s="179"/>
      <c r="B926" s="188"/>
      <c r="C926" s="189"/>
      <c r="D926" s="188"/>
      <c r="E926" s="188"/>
      <c r="F926" s="188"/>
      <c r="G926" s="188"/>
      <c r="H926" s="188"/>
      <c r="I926" s="188"/>
      <c r="J926" s="188"/>
      <c r="K926" s="182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</row>
    <row r="927" spans="1:25" ht="15.6" x14ac:dyDescent="0.3">
      <c r="A927" s="179"/>
      <c r="B927" s="188"/>
      <c r="C927" s="189"/>
      <c r="D927" s="188"/>
      <c r="E927" s="188"/>
      <c r="F927" s="188"/>
      <c r="G927" s="188"/>
      <c r="H927" s="188"/>
      <c r="I927" s="188"/>
      <c r="J927" s="188"/>
      <c r="K927" s="182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</row>
    <row r="928" spans="1:25" ht="15.6" x14ac:dyDescent="0.3">
      <c r="A928" s="179"/>
      <c r="B928" s="188"/>
      <c r="C928" s="189"/>
      <c r="D928" s="188"/>
      <c r="E928" s="188"/>
      <c r="F928" s="188"/>
      <c r="G928" s="188"/>
      <c r="H928" s="188"/>
      <c r="I928" s="188"/>
      <c r="J928" s="188"/>
      <c r="K928" s="182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</row>
    <row r="929" spans="1:25" ht="15.6" x14ac:dyDescent="0.3">
      <c r="A929" s="179"/>
      <c r="B929" s="188"/>
      <c r="C929" s="189"/>
      <c r="D929" s="188"/>
      <c r="E929" s="188"/>
      <c r="F929" s="188"/>
      <c r="G929" s="188"/>
      <c r="H929" s="188"/>
      <c r="I929" s="188"/>
      <c r="J929" s="188"/>
      <c r="K929" s="182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</row>
    <row r="930" spans="1:25" ht="15.6" x14ac:dyDescent="0.3">
      <c r="A930" s="179"/>
      <c r="B930" s="188"/>
      <c r="C930" s="189"/>
      <c r="D930" s="188"/>
      <c r="E930" s="188"/>
      <c r="F930" s="188"/>
      <c r="G930" s="188"/>
      <c r="H930" s="188"/>
      <c r="I930" s="188"/>
      <c r="J930" s="188"/>
      <c r="K930" s="182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</row>
    <row r="931" spans="1:25" ht="15.6" x14ac:dyDescent="0.3">
      <c r="A931" s="179"/>
      <c r="B931" s="188"/>
      <c r="C931" s="189"/>
      <c r="D931" s="188"/>
      <c r="E931" s="188"/>
      <c r="F931" s="188"/>
      <c r="G931" s="188"/>
      <c r="H931" s="188"/>
      <c r="I931" s="188"/>
      <c r="J931" s="188"/>
      <c r="K931" s="182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</row>
    <row r="932" spans="1:25" ht="15.6" x14ac:dyDescent="0.3">
      <c r="A932" s="179"/>
      <c r="B932" s="188"/>
      <c r="C932" s="189"/>
      <c r="D932" s="188"/>
      <c r="E932" s="188"/>
      <c r="F932" s="188"/>
      <c r="G932" s="188"/>
      <c r="H932" s="188"/>
      <c r="I932" s="188"/>
      <c r="J932" s="188"/>
      <c r="K932" s="182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</row>
    <row r="933" spans="1:25" ht="15.6" x14ac:dyDescent="0.3">
      <c r="A933" s="179"/>
      <c r="B933" s="188"/>
      <c r="C933" s="189"/>
      <c r="D933" s="188"/>
      <c r="E933" s="188"/>
      <c r="F933" s="188"/>
      <c r="G933" s="188"/>
      <c r="H933" s="188"/>
      <c r="I933" s="188"/>
      <c r="J933" s="188"/>
      <c r="K933" s="182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</row>
    <row r="934" spans="1:25" ht="15.6" x14ac:dyDescent="0.3">
      <c r="A934" s="179"/>
      <c r="B934" s="188"/>
      <c r="C934" s="189"/>
      <c r="D934" s="188"/>
      <c r="E934" s="188"/>
      <c r="F934" s="188"/>
      <c r="G934" s="188"/>
      <c r="H934" s="188"/>
      <c r="I934" s="188"/>
      <c r="J934" s="188"/>
      <c r="K934" s="182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</row>
    <row r="935" spans="1:25" ht="15.6" x14ac:dyDescent="0.3">
      <c r="A935" s="179"/>
      <c r="B935" s="188"/>
      <c r="C935" s="189"/>
      <c r="D935" s="188"/>
      <c r="E935" s="188"/>
      <c r="F935" s="188"/>
      <c r="G935" s="188"/>
      <c r="H935" s="188"/>
      <c r="I935" s="188"/>
      <c r="J935" s="188"/>
      <c r="K935" s="182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</row>
    <row r="936" spans="1:25" ht="15.6" x14ac:dyDescent="0.3">
      <c r="A936" s="179"/>
      <c r="B936" s="188"/>
      <c r="C936" s="189"/>
      <c r="D936" s="188"/>
      <c r="E936" s="188"/>
      <c r="F936" s="188"/>
      <c r="G936" s="188"/>
      <c r="H936" s="188"/>
      <c r="I936" s="188"/>
      <c r="J936" s="188"/>
      <c r="K936" s="182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</row>
    <row r="937" spans="1:25" ht="15.6" x14ac:dyDescent="0.3">
      <c r="A937" s="179"/>
      <c r="B937" s="188"/>
      <c r="C937" s="189"/>
      <c r="D937" s="188"/>
      <c r="E937" s="188"/>
      <c r="F937" s="188"/>
      <c r="G937" s="188"/>
      <c r="H937" s="188"/>
      <c r="I937" s="188"/>
      <c r="J937" s="188"/>
      <c r="K937" s="182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</row>
    <row r="938" spans="1:25" ht="15.6" x14ac:dyDescent="0.3">
      <c r="A938" s="179"/>
      <c r="B938" s="188"/>
      <c r="C938" s="189"/>
      <c r="D938" s="188"/>
      <c r="E938" s="188"/>
      <c r="F938" s="188"/>
      <c r="G938" s="188"/>
      <c r="H938" s="188"/>
      <c r="I938" s="188"/>
      <c r="J938" s="188"/>
      <c r="K938" s="182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</row>
    <row r="939" spans="1:25" ht="15.6" x14ac:dyDescent="0.3">
      <c r="A939" s="179"/>
      <c r="B939" s="188"/>
      <c r="C939" s="189"/>
      <c r="D939" s="188"/>
      <c r="E939" s="188"/>
      <c r="F939" s="188"/>
      <c r="G939" s="188"/>
      <c r="H939" s="188"/>
      <c r="I939" s="188"/>
      <c r="J939" s="188"/>
      <c r="K939" s="182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</row>
    <row r="940" spans="1:25" ht="15.6" x14ac:dyDescent="0.3">
      <c r="A940" s="179"/>
      <c r="B940" s="188"/>
      <c r="C940" s="189"/>
      <c r="D940" s="188"/>
      <c r="E940" s="188"/>
      <c r="F940" s="188"/>
      <c r="G940" s="188"/>
      <c r="H940" s="188"/>
      <c r="I940" s="188"/>
      <c r="J940" s="188"/>
      <c r="K940" s="182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</row>
    <row r="941" spans="1:25" ht="15.6" x14ac:dyDescent="0.3">
      <c r="A941" s="179"/>
      <c r="B941" s="188"/>
      <c r="C941" s="189"/>
      <c r="D941" s="188"/>
      <c r="E941" s="188"/>
      <c r="F941" s="188"/>
      <c r="G941" s="188"/>
      <c r="H941" s="188"/>
      <c r="I941" s="188"/>
      <c r="J941" s="188"/>
      <c r="K941" s="182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</row>
    <row r="942" spans="1:25" ht="15.6" x14ac:dyDescent="0.3">
      <c r="A942" s="179"/>
      <c r="B942" s="188"/>
      <c r="C942" s="189"/>
      <c r="D942" s="188"/>
      <c r="E942" s="188"/>
      <c r="F942" s="188"/>
      <c r="G942" s="188"/>
      <c r="H942" s="188"/>
      <c r="I942" s="188"/>
      <c r="J942" s="188"/>
      <c r="K942" s="182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</row>
    <row r="943" spans="1:25" ht="15.6" x14ac:dyDescent="0.3">
      <c r="A943" s="179"/>
      <c r="B943" s="188"/>
      <c r="C943" s="189"/>
      <c r="D943" s="188"/>
      <c r="E943" s="188"/>
      <c r="F943" s="188"/>
      <c r="G943" s="188"/>
      <c r="H943" s="188"/>
      <c r="I943" s="188"/>
      <c r="J943" s="188"/>
      <c r="K943" s="182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</row>
    <row r="944" spans="1:25" ht="15.6" x14ac:dyDescent="0.3">
      <c r="A944" s="179"/>
      <c r="B944" s="188"/>
      <c r="C944" s="189"/>
      <c r="D944" s="188"/>
      <c r="E944" s="188"/>
      <c r="F944" s="188"/>
      <c r="G944" s="188"/>
      <c r="H944" s="188"/>
      <c r="I944" s="188"/>
      <c r="J944" s="188"/>
      <c r="K944" s="182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</row>
    <row r="945" spans="1:25" ht="15.6" x14ac:dyDescent="0.3">
      <c r="A945" s="179"/>
      <c r="B945" s="188"/>
      <c r="C945" s="189"/>
      <c r="D945" s="188"/>
      <c r="E945" s="188"/>
      <c r="F945" s="188"/>
      <c r="G945" s="188"/>
      <c r="H945" s="188"/>
      <c r="I945" s="188"/>
      <c r="J945" s="188"/>
      <c r="K945" s="182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</row>
    <row r="946" spans="1:25" ht="15.6" x14ac:dyDescent="0.3">
      <c r="A946" s="179"/>
      <c r="B946" s="188"/>
      <c r="C946" s="189"/>
      <c r="D946" s="188"/>
      <c r="E946" s="188"/>
      <c r="F946" s="188"/>
      <c r="G946" s="188"/>
      <c r="H946" s="188"/>
      <c r="I946" s="188"/>
      <c r="J946" s="188"/>
      <c r="K946" s="182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</row>
    <row r="947" spans="1:25" ht="15.6" x14ac:dyDescent="0.3">
      <c r="A947" s="179"/>
      <c r="B947" s="188"/>
      <c r="C947" s="189"/>
      <c r="D947" s="188"/>
      <c r="E947" s="188"/>
      <c r="F947" s="188"/>
      <c r="G947" s="188"/>
      <c r="H947" s="188"/>
      <c r="I947" s="188"/>
      <c r="J947" s="188"/>
      <c r="K947" s="182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</row>
    <row r="948" spans="1:25" ht="15.6" x14ac:dyDescent="0.3">
      <c r="A948" s="179"/>
      <c r="B948" s="188"/>
      <c r="C948" s="189"/>
      <c r="D948" s="188"/>
      <c r="E948" s="188"/>
      <c r="F948" s="188"/>
      <c r="G948" s="188"/>
      <c r="H948" s="188"/>
      <c r="I948" s="188"/>
      <c r="J948" s="188"/>
      <c r="K948" s="182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</row>
    <row r="949" spans="1:25" ht="15.6" x14ac:dyDescent="0.3">
      <c r="A949" s="179"/>
      <c r="B949" s="188"/>
      <c r="C949" s="189"/>
      <c r="D949" s="188"/>
      <c r="E949" s="188"/>
      <c r="F949" s="188"/>
      <c r="G949" s="188"/>
      <c r="H949" s="188"/>
      <c r="I949" s="188"/>
      <c r="J949" s="188"/>
      <c r="K949" s="182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</row>
    <row r="950" spans="1:25" ht="15.6" x14ac:dyDescent="0.3">
      <c r="A950" s="179"/>
      <c r="B950" s="188"/>
      <c r="C950" s="189"/>
      <c r="D950" s="188"/>
      <c r="E950" s="188"/>
      <c r="F950" s="188"/>
      <c r="G950" s="188"/>
      <c r="H950" s="188"/>
      <c r="I950" s="188"/>
      <c r="J950" s="188"/>
      <c r="K950" s="182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</row>
    <row r="951" spans="1:25" ht="15.6" x14ac:dyDescent="0.3">
      <c r="A951" s="179"/>
      <c r="B951" s="188"/>
      <c r="C951" s="189"/>
      <c r="D951" s="188"/>
      <c r="E951" s="188"/>
      <c r="F951" s="188"/>
      <c r="G951" s="188"/>
      <c r="H951" s="188"/>
      <c r="I951" s="188"/>
      <c r="J951" s="188"/>
      <c r="K951" s="182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</row>
    <row r="952" spans="1:25" ht="15.6" x14ac:dyDescent="0.3">
      <c r="A952" s="179"/>
      <c r="B952" s="188"/>
      <c r="C952" s="189"/>
      <c r="D952" s="188"/>
      <c r="E952" s="188"/>
      <c r="F952" s="188"/>
      <c r="G952" s="188"/>
      <c r="H952" s="188"/>
      <c r="I952" s="188"/>
      <c r="J952" s="188"/>
      <c r="K952" s="182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</row>
    <row r="953" spans="1:25" ht="15.6" x14ac:dyDescent="0.3">
      <c r="A953" s="179"/>
      <c r="B953" s="188"/>
      <c r="C953" s="189"/>
      <c r="D953" s="188"/>
      <c r="E953" s="188"/>
      <c r="F953" s="188"/>
      <c r="G953" s="188"/>
      <c r="H953" s="188"/>
      <c r="I953" s="188"/>
      <c r="J953" s="188"/>
      <c r="K953" s="182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</row>
    <row r="954" spans="1:25" ht="15.6" x14ac:dyDescent="0.3">
      <c r="A954" s="179"/>
      <c r="B954" s="188"/>
      <c r="C954" s="189"/>
      <c r="D954" s="188"/>
      <c r="E954" s="188"/>
      <c r="F954" s="188"/>
      <c r="G954" s="188"/>
      <c r="H954" s="188"/>
      <c r="I954" s="188"/>
      <c r="J954" s="188"/>
      <c r="K954" s="182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</row>
    <row r="955" spans="1:25" ht="15.6" x14ac:dyDescent="0.3">
      <c r="A955" s="179"/>
      <c r="B955" s="188"/>
      <c r="C955" s="189"/>
      <c r="D955" s="188"/>
      <c r="E955" s="188"/>
      <c r="F955" s="188"/>
      <c r="G955" s="188"/>
      <c r="H955" s="188"/>
      <c r="I955" s="188"/>
      <c r="J955" s="188"/>
      <c r="K955" s="182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</row>
    <row r="956" spans="1:25" ht="15.6" x14ac:dyDescent="0.3">
      <c r="A956" s="179"/>
      <c r="B956" s="188"/>
      <c r="C956" s="189"/>
      <c r="D956" s="188"/>
      <c r="E956" s="188"/>
      <c r="F956" s="188"/>
      <c r="G956" s="188"/>
      <c r="H956" s="188"/>
      <c r="I956" s="188"/>
      <c r="J956" s="188"/>
      <c r="K956" s="182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</row>
    <row r="957" spans="1:25" ht="15.6" x14ac:dyDescent="0.3">
      <c r="A957" s="179"/>
      <c r="B957" s="188"/>
      <c r="C957" s="189"/>
      <c r="D957" s="188"/>
      <c r="E957" s="188"/>
      <c r="F957" s="188"/>
      <c r="G957" s="188"/>
      <c r="H957" s="188"/>
      <c r="I957" s="188"/>
      <c r="J957" s="188"/>
      <c r="K957" s="182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</row>
    <row r="958" spans="1:25" ht="15.6" x14ac:dyDescent="0.3">
      <c r="A958" s="179"/>
      <c r="B958" s="188"/>
      <c r="C958" s="189"/>
      <c r="D958" s="188"/>
      <c r="E958" s="188"/>
      <c r="F958" s="188"/>
      <c r="G958" s="188"/>
      <c r="H958" s="188"/>
      <c r="I958" s="188"/>
      <c r="J958" s="188"/>
      <c r="K958" s="182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</row>
    <row r="959" spans="1:25" ht="15.6" x14ac:dyDescent="0.3">
      <c r="A959" s="179"/>
      <c r="B959" s="188"/>
      <c r="C959" s="189"/>
      <c r="D959" s="188"/>
      <c r="E959" s="188"/>
      <c r="F959" s="188"/>
      <c r="G959" s="188"/>
      <c r="H959" s="188"/>
      <c r="I959" s="188"/>
      <c r="J959" s="188"/>
      <c r="K959" s="182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</row>
    <row r="960" spans="1:25" ht="15.6" x14ac:dyDescent="0.3">
      <c r="A960" s="179"/>
      <c r="B960" s="188"/>
      <c r="C960" s="189"/>
      <c r="D960" s="188"/>
      <c r="E960" s="188"/>
      <c r="F960" s="188"/>
      <c r="G960" s="188"/>
      <c r="H960" s="188"/>
      <c r="I960" s="188"/>
      <c r="J960" s="188"/>
      <c r="K960" s="182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</row>
    <row r="961" spans="1:25" ht="15.6" x14ac:dyDescent="0.3">
      <c r="A961" s="179"/>
      <c r="B961" s="188"/>
      <c r="C961" s="189"/>
      <c r="D961" s="188"/>
      <c r="E961" s="188"/>
      <c r="F961" s="188"/>
      <c r="G961" s="188"/>
      <c r="H961" s="188"/>
      <c r="I961" s="188"/>
      <c r="J961" s="188"/>
      <c r="K961" s="182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</row>
    <row r="962" spans="1:25" ht="15.6" x14ac:dyDescent="0.3">
      <c r="A962" s="179"/>
      <c r="B962" s="188"/>
      <c r="C962" s="189"/>
      <c r="D962" s="188"/>
      <c r="E962" s="188"/>
      <c r="F962" s="188"/>
      <c r="G962" s="188"/>
      <c r="H962" s="188"/>
      <c r="I962" s="188"/>
      <c r="J962" s="188"/>
      <c r="K962" s="182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</row>
    <row r="963" spans="1:25" ht="15.6" x14ac:dyDescent="0.3">
      <c r="A963" s="179"/>
      <c r="B963" s="188"/>
      <c r="C963" s="189"/>
      <c r="D963" s="188"/>
      <c r="E963" s="188"/>
      <c r="F963" s="188"/>
      <c r="G963" s="188"/>
      <c r="H963" s="188"/>
      <c r="I963" s="188"/>
      <c r="J963" s="188"/>
      <c r="K963" s="182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</row>
    <row r="964" spans="1:25" ht="15.6" x14ac:dyDescent="0.3">
      <c r="A964" s="179"/>
      <c r="B964" s="188"/>
      <c r="C964" s="189"/>
      <c r="D964" s="188"/>
      <c r="E964" s="188"/>
      <c r="F964" s="188"/>
      <c r="G964" s="188"/>
      <c r="H964" s="188"/>
      <c r="I964" s="188"/>
      <c r="J964" s="188"/>
      <c r="K964" s="182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</row>
    <row r="965" spans="1:25" ht="15.6" x14ac:dyDescent="0.3">
      <c r="A965" s="179"/>
      <c r="B965" s="188"/>
      <c r="C965" s="189"/>
      <c r="D965" s="188"/>
      <c r="E965" s="188"/>
      <c r="F965" s="188"/>
      <c r="G965" s="188"/>
      <c r="H965" s="188"/>
      <c r="I965" s="188"/>
      <c r="J965" s="188"/>
      <c r="K965" s="182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</row>
    <row r="966" spans="1:25" ht="15.6" x14ac:dyDescent="0.3">
      <c r="A966" s="179"/>
      <c r="B966" s="188"/>
      <c r="C966" s="189"/>
      <c r="D966" s="188"/>
      <c r="E966" s="188"/>
      <c r="F966" s="188"/>
      <c r="G966" s="188"/>
      <c r="H966" s="188"/>
      <c r="I966" s="188"/>
      <c r="J966" s="188"/>
      <c r="K966" s="182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</row>
    <row r="967" spans="1:25" ht="15.6" x14ac:dyDescent="0.3">
      <c r="A967" s="179"/>
      <c r="B967" s="188"/>
      <c r="C967" s="189"/>
      <c r="D967" s="188"/>
      <c r="E967" s="188"/>
      <c r="F967" s="188"/>
      <c r="G967" s="188"/>
      <c r="H967" s="188"/>
      <c r="I967" s="188"/>
      <c r="J967" s="188"/>
      <c r="K967" s="182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</row>
    <row r="968" spans="1:25" ht="15.6" x14ac:dyDescent="0.3">
      <c r="A968" s="179"/>
      <c r="B968" s="188"/>
      <c r="C968" s="189"/>
      <c r="D968" s="188"/>
      <c r="E968" s="188"/>
      <c r="F968" s="188"/>
      <c r="G968" s="188"/>
      <c r="H968" s="188"/>
      <c r="I968" s="188"/>
      <c r="J968" s="188"/>
      <c r="K968" s="182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</row>
    <row r="969" spans="1:25" ht="15.6" x14ac:dyDescent="0.3">
      <c r="A969" s="179"/>
      <c r="B969" s="188"/>
      <c r="C969" s="189"/>
      <c r="D969" s="188"/>
      <c r="E969" s="188"/>
      <c r="F969" s="188"/>
      <c r="G969" s="188"/>
      <c r="H969" s="188"/>
      <c r="I969" s="188"/>
      <c r="J969" s="188"/>
      <c r="K969" s="182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</row>
    <row r="970" spans="1:25" ht="15.6" x14ac:dyDescent="0.3">
      <c r="A970" s="179"/>
      <c r="B970" s="188"/>
      <c r="C970" s="189"/>
      <c r="D970" s="188"/>
      <c r="E970" s="188"/>
      <c r="F970" s="188"/>
      <c r="G970" s="188"/>
      <c r="H970" s="188"/>
      <c r="I970" s="188"/>
      <c r="J970" s="188"/>
      <c r="K970" s="182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</row>
    <row r="971" spans="1:25" ht="15.6" x14ac:dyDescent="0.3">
      <c r="A971" s="179"/>
      <c r="B971" s="188"/>
      <c r="C971" s="189"/>
      <c r="D971" s="188"/>
      <c r="E971" s="188"/>
      <c r="F971" s="188"/>
      <c r="G971" s="188"/>
      <c r="H971" s="188"/>
      <c r="I971" s="188"/>
      <c r="J971" s="188"/>
      <c r="K971" s="182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</row>
    <row r="972" spans="1:25" ht="15.6" x14ac:dyDescent="0.3">
      <c r="A972" s="179"/>
      <c r="B972" s="188"/>
      <c r="C972" s="189"/>
      <c r="D972" s="188"/>
      <c r="E972" s="188"/>
      <c r="F972" s="188"/>
      <c r="G972" s="188"/>
      <c r="H972" s="188"/>
      <c r="I972" s="188"/>
      <c r="J972" s="188"/>
      <c r="K972" s="182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</row>
    <row r="973" spans="1:25" ht="15.6" x14ac:dyDescent="0.3">
      <c r="A973" s="179"/>
      <c r="B973" s="188"/>
      <c r="C973" s="189"/>
      <c r="D973" s="188"/>
      <c r="E973" s="188"/>
      <c r="F973" s="188"/>
      <c r="G973" s="188"/>
      <c r="H973" s="188"/>
      <c r="I973" s="188"/>
      <c r="J973" s="188"/>
      <c r="K973" s="182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</row>
    <row r="974" spans="1:25" ht="15.6" x14ac:dyDescent="0.3">
      <c r="A974" s="179"/>
      <c r="B974" s="188"/>
      <c r="C974" s="189"/>
      <c r="D974" s="188"/>
      <c r="E974" s="188"/>
      <c r="F974" s="188"/>
      <c r="G974" s="188"/>
      <c r="H974" s="188"/>
      <c r="I974" s="188"/>
      <c r="J974" s="188"/>
      <c r="K974" s="182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</row>
    <row r="975" spans="1:25" ht="15.6" x14ac:dyDescent="0.3">
      <c r="A975" s="179"/>
      <c r="B975" s="188"/>
      <c r="C975" s="189"/>
      <c r="D975" s="188"/>
      <c r="E975" s="188"/>
      <c r="F975" s="188"/>
      <c r="G975" s="188"/>
      <c r="H975" s="188"/>
      <c r="I975" s="188"/>
      <c r="J975" s="188"/>
      <c r="K975" s="182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</row>
    <row r="976" spans="1:25" ht="15.6" x14ac:dyDescent="0.3">
      <c r="A976" s="179"/>
      <c r="B976" s="188"/>
      <c r="C976" s="189"/>
      <c r="D976" s="188"/>
      <c r="E976" s="188"/>
      <c r="F976" s="188"/>
      <c r="G976" s="188"/>
      <c r="H976" s="188"/>
      <c r="I976" s="188"/>
      <c r="J976" s="188"/>
      <c r="K976" s="182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</row>
    <row r="977" spans="1:25" ht="15.6" x14ac:dyDescent="0.3">
      <c r="A977" s="179"/>
      <c r="B977" s="188"/>
      <c r="C977" s="189"/>
      <c r="D977" s="188"/>
      <c r="E977" s="188"/>
      <c r="F977" s="188"/>
      <c r="G977" s="188"/>
      <c r="H977" s="188"/>
      <c r="I977" s="188"/>
      <c r="J977" s="188"/>
      <c r="K977" s="182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</row>
    <row r="978" spans="1:25" ht="15.6" x14ac:dyDescent="0.3">
      <c r="A978" s="179"/>
      <c r="B978" s="188"/>
      <c r="C978" s="189"/>
      <c r="D978" s="188"/>
      <c r="E978" s="188"/>
      <c r="F978" s="188"/>
      <c r="G978" s="188"/>
      <c r="H978" s="188"/>
      <c r="I978" s="188"/>
      <c r="J978" s="188"/>
      <c r="K978" s="182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</row>
    <row r="979" spans="1:25" ht="15.6" x14ac:dyDescent="0.3">
      <c r="A979" s="179"/>
      <c r="B979" s="188"/>
      <c r="C979" s="189"/>
      <c r="D979" s="188"/>
      <c r="E979" s="188"/>
      <c r="F979" s="188"/>
      <c r="G979" s="188"/>
      <c r="H979" s="188"/>
      <c r="I979" s="188"/>
      <c r="J979" s="188"/>
      <c r="K979" s="182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</row>
    <row r="980" spans="1:25" ht="15.6" x14ac:dyDescent="0.3">
      <c r="A980" s="179"/>
      <c r="B980" s="188"/>
      <c r="C980" s="189"/>
      <c r="D980" s="188"/>
      <c r="E980" s="188"/>
      <c r="F980" s="188"/>
      <c r="G980" s="188"/>
      <c r="H980" s="188"/>
      <c r="I980" s="188"/>
      <c r="J980" s="188"/>
      <c r="K980" s="182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</row>
    <row r="981" spans="1:25" ht="15.6" x14ac:dyDescent="0.3">
      <c r="A981" s="179"/>
      <c r="B981" s="188"/>
      <c r="C981" s="189"/>
      <c r="D981" s="188"/>
      <c r="E981" s="188"/>
      <c r="F981" s="188"/>
      <c r="G981" s="188"/>
      <c r="H981" s="188"/>
      <c r="I981" s="188"/>
      <c r="J981" s="188"/>
      <c r="K981" s="182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</row>
    <row r="982" spans="1:25" ht="15.6" x14ac:dyDescent="0.3">
      <c r="A982" s="179"/>
      <c r="B982" s="188"/>
      <c r="C982" s="189"/>
      <c r="D982" s="188"/>
      <c r="E982" s="188"/>
      <c r="F982" s="188"/>
      <c r="G982" s="188"/>
      <c r="H982" s="188"/>
      <c r="I982" s="188"/>
      <c r="J982" s="188"/>
      <c r="K982" s="182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</row>
    <row r="983" spans="1:25" ht="15.6" x14ac:dyDescent="0.3">
      <c r="A983" s="179"/>
      <c r="B983" s="188"/>
      <c r="C983" s="189"/>
      <c r="D983" s="188"/>
      <c r="E983" s="188"/>
      <c r="F983" s="188"/>
      <c r="G983" s="188"/>
      <c r="H983" s="188"/>
      <c r="I983" s="188"/>
      <c r="J983" s="188"/>
      <c r="K983" s="182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</row>
    <row r="984" spans="1:25" ht="15.6" x14ac:dyDescent="0.3">
      <c r="A984" s="179"/>
      <c r="B984" s="188"/>
      <c r="C984" s="189"/>
      <c r="D984" s="188"/>
      <c r="E984" s="188"/>
      <c r="F984" s="188"/>
      <c r="G984" s="188"/>
      <c r="H984" s="188"/>
      <c r="I984" s="188"/>
      <c r="J984" s="188"/>
      <c r="K984" s="182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</row>
    <row r="985" spans="1:25" ht="15.6" x14ac:dyDescent="0.3">
      <c r="A985" s="179"/>
      <c r="B985" s="188"/>
      <c r="C985" s="189"/>
      <c r="D985" s="188"/>
      <c r="E985" s="188"/>
      <c r="F985" s="188"/>
      <c r="G985" s="188"/>
      <c r="H985" s="188"/>
      <c r="I985" s="188"/>
      <c r="J985" s="188"/>
      <c r="K985" s="182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</row>
    <row r="986" spans="1:25" ht="15.6" x14ac:dyDescent="0.3">
      <c r="A986" s="179"/>
      <c r="B986" s="188"/>
      <c r="C986" s="189"/>
      <c r="D986" s="188"/>
      <c r="E986" s="188"/>
      <c r="F986" s="188"/>
      <c r="G986" s="188"/>
      <c r="H986" s="188"/>
      <c r="I986" s="188"/>
      <c r="J986" s="188"/>
      <c r="K986" s="182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</row>
    <row r="987" spans="1:25" ht="15.6" x14ac:dyDescent="0.3">
      <c r="A987" s="179"/>
      <c r="B987" s="188"/>
      <c r="C987" s="189"/>
      <c r="D987" s="188"/>
      <c r="E987" s="188"/>
      <c r="F987" s="188"/>
      <c r="G987" s="188"/>
      <c r="H987" s="188"/>
      <c r="I987" s="188"/>
      <c r="J987" s="188"/>
      <c r="K987" s="182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</row>
    <row r="988" spans="1:25" ht="15.6" x14ac:dyDescent="0.3">
      <c r="A988" s="179"/>
      <c r="B988" s="188"/>
      <c r="C988" s="189"/>
      <c r="D988" s="188"/>
      <c r="E988" s="188"/>
      <c r="F988" s="188"/>
      <c r="G988" s="188"/>
      <c r="H988" s="188"/>
      <c r="I988" s="188"/>
      <c r="J988" s="188"/>
      <c r="K988" s="182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</row>
    <row r="989" spans="1:25" ht="15.6" x14ac:dyDescent="0.3">
      <c r="A989" s="179"/>
      <c r="B989" s="188"/>
      <c r="C989" s="189"/>
      <c r="D989" s="188"/>
      <c r="E989" s="188"/>
      <c r="F989" s="188"/>
      <c r="G989" s="188"/>
      <c r="H989" s="188"/>
      <c r="I989" s="188"/>
      <c r="J989" s="188"/>
      <c r="K989" s="182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</row>
    <row r="990" spans="1:25" ht="15.6" x14ac:dyDescent="0.3">
      <c r="A990" s="179"/>
      <c r="B990" s="188"/>
      <c r="C990" s="189"/>
      <c r="D990" s="188"/>
      <c r="E990" s="188"/>
      <c r="F990" s="188"/>
      <c r="G990" s="188"/>
      <c r="H990" s="188"/>
      <c r="I990" s="188"/>
      <c r="J990" s="188"/>
      <c r="K990" s="182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</row>
    <row r="991" spans="1:25" ht="15.6" x14ac:dyDescent="0.3">
      <c r="A991" s="179"/>
      <c r="B991" s="188"/>
      <c r="C991" s="189"/>
      <c r="D991" s="188"/>
      <c r="E991" s="188"/>
      <c r="F991" s="188"/>
      <c r="G991" s="188"/>
      <c r="H991" s="188"/>
      <c r="I991" s="188"/>
      <c r="J991" s="188"/>
      <c r="K991" s="182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</row>
    <row r="992" spans="1:25" ht="15.6" x14ac:dyDescent="0.3">
      <c r="A992" s="179"/>
      <c r="B992" s="188"/>
      <c r="C992" s="189"/>
      <c r="D992" s="188"/>
      <c r="E992" s="188"/>
      <c r="F992" s="188"/>
      <c r="G992" s="188"/>
      <c r="H992" s="188"/>
      <c r="I992" s="188"/>
      <c r="J992" s="188"/>
      <c r="K992" s="182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</row>
    <row r="993" spans="1:25" ht="15.6" x14ac:dyDescent="0.3">
      <c r="A993" s="179"/>
      <c r="B993" s="188"/>
      <c r="C993" s="189"/>
      <c r="D993" s="188"/>
      <c r="E993" s="188"/>
      <c r="F993" s="188"/>
      <c r="G993" s="188"/>
      <c r="H993" s="188"/>
      <c r="I993" s="188"/>
      <c r="J993" s="188"/>
      <c r="K993" s="182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</row>
    <row r="994" spans="1:25" ht="15.6" x14ac:dyDescent="0.3">
      <c r="A994" s="179"/>
      <c r="B994" s="188"/>
      <c r="C994" s="189"/>
      <c r="D994" s="188"/>
      <c r="E994" s="188"/>
      <c r="F994" s="188"/>
      <c r="G994" s="188"/>
      <c r="H994" s="188"/>
      <c r="I994" s="188"/>
      <c r="J994" s="188"/>
      <c r="K994" s="182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</row>
    <row r="995" spans="1:25" ht="15.6" x14ac:dyDescent="0.3">
      <c r="A995" s="179"/>
      <c r="B995" s="188"/>
      <c r="C995" s="189"/>
      <c r="D995" s="188"/>
      <c r="E995" s="188"/>
      <c r="F995" s="188"/>
      <c r="G995" s="188"/>
      <c r="H995" s="188"/>
      <c r="I995" s="188"/>
      <c r="J995" s="188"/>
      <c r="K995" s="182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</row>
    <row r="996" spans="1:25" ht="15.6" x14ac:dyDescent="0.3">
      <c r="A996" s="179"/>
      <c r="B996" s="188"/>
      <c r="C996" s="189"/>
      <c r="D996" s="188"/>
      <c r="E996" s="188"/>
      <c r="F996" s="188"/>
      <c r="G996" s="188"/>
      <c r="H996" s="188"/>
      <c r="I996" s="188"/>
      <c r="J996" s="188"/>
      <c r="K996" s="182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</row>
    <row r="997" spans="1:25" ht="15.6" x14ac:dyDescent="0.3">
      <c r="A997" s="179"/>
      <c r="B997" s="188"/>
      <c r="C997" s="189"/>
      <c r="D997" s="188"/>
      <c r="E997" s="188"/>
      <c r="F997" s="188"/>
      <c r="G997" s="188"/>
      <c r="H997" s="188"/>
      <c r="I997" s="188"/>
      <c r="J997" s="188"/>
      <c r="K997" s="182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</row>
    <row r="998" spans="1:25" ht="15.6" x14ac:dyDescent="0.3">
      <c r="A998" s="179"/>
      <c r="B998" s="188"/>
      <c r="C998" s="189"/>
      <c r="D998" s="188"/>
      <c r="E998" s="188"/>
      <c r="F998" s="188"/>
      <c r="G998" s="188"/>
      <c r="H998" s="188"/>
      <c r="I998" s="188"/>
      <c r="J998" s="188"/>
      <c r="K998" s="182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</row>
    <row r="999" spans="1:25" ht="15.6" x14ac:dyDescent="0.3">
      <c r="A999" s="179"/>
      <c r="B999" s="188"/>
      <c r="C999" s="189"/>
      <c r="D999" s="188"/>
      <c r="E999" s="188"/>
      <c r="F999" s="188"/>
      <c r="G999" s="188"/>
      <c r="H999" s="188"/>
      <c r="I999" s="188"/>
      <c r="J999" s="188"/>
      <c r="K999" s="182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</row>
    <row r="1000" spans="1:25" ht="15.6" x14ac:dyDescent="0.3">
      <c r="A1000" s="179"/>
      <c r="B1000" s="188"/>
      <c r="C1000" s="189"/>
      <c r="D1000" s="188"/>
      <c r="E1000" s="188"/>
      <c r="F1000" s="188"/>
      <c r="G1000" s="188"/>
      <c r="H1000" s="188"/>
      <c r="I1000" s="188"/>
      <c r="J1000" s="188"/>
      <c r="K1000" s="182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</row>
    <row r="1001" spans="1:25" hidden="1" x14ac:dyDescent="0.2"/>
    <row r="1002" spans="1:25" hidden="1" x14ac:dyDescent="0.2"/>
    <row r="1003" spans="1:25" hidden="1" x14ac:dyDescent="0.2"/>
    <row r="1004" spans="1:25" hidden="1" x14ac:dyDescent="0.2"/>
    <row r="1005" spans="1:25" hidden="1" x14ac:dyDescent="0.2"/>
    <row r="1006" spans="1:25" hidden="1" x14ac:dyDescent="0.2"/>
    <row r="1007" spans="1:25" hidden="1" x14ac:dyDescent="0.2"/>
    <row r="1008" spans="1:25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032" sheet="1" objects="1" scenarios="1"/>
  <phoneticPr fontId="0" type="noConversion"/>
  <pageMargins left="0.57999999999999996" right="0.36" top="0.52" bottom="0.52" header="0.5" footer="0.5"/>
  <pageSetup scale="5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L65535"/>
  <sheetViews>
    <sheetView showGridLines="0" showRowColHeaders="0" showZeros="0" zoomScaleNormal="100" workbookViewId="0">
      <selection activeCell="C2" sqref="C2:E2"/>
    </sheetView>
  </sheetViews>
  <sheetFormatPr defaultRowHeight="12" x14ac:dyDescent="0.2"/>
  <cols>
    <col min="1" max="1" width="53.109375" style="20" customWidth="1"/>
    <col min="2" max="2" width="26" style="13" customWidth="1"/>
    <col min="3" max="3" width="11.21875" style="13" customWidth="1"/>
    <col min="4" max="4" width="14.88671875" style="13" customWidth="1"/>
    <col min="5" max="5" width="17.88671875" style="13" customWidth="1"/>
    <col min="6" max="6" width="15.109375" style="13" customWidth="1"/>
    <col min="7" max="12" width="0" style="13" hidden="1" customWidth="1"/>
    <col min="13" max="255" width="0" hidden="1" customWidth="1"/>
  </cols>
  <sheetData>
    <row r="1" spans="1:12" ht="27" customHeight="1" x14ac:dyDescent="0.2">
      <c r="B1" s="259" t="s">
        <v>418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s="95" customFormat="1" ht="15" x14ac:dyDescent="0.25">
      <c r="A2" s="20"/>
      <c r="B2" s="107" t="s">
        <v>150</v>
      </c>
      <c r="C2" s="257"/>
      <c r="D2" s="258"/>
      <c r="E2" s="258"/>
      <c r="F2" s="101"/>
      <c r="G2" s="93"/>
      <c r="H2" s="93"/>
      <c r="I2" s="93"/>
      <c r="J2" s="94"/>
      <c r="K2" s="94"/>
      <c r="L2" s="94"/>
    </row>
    <row r="3" spans="1:12" s="95" customFormat="1" ht="15" x14ac:dyDescent="0.25">
      <c r="A3" s="20"/>
      <c r="B3" s="35"/>
      <c r="C3" s="102"/>
      <c r="D3" s="35"/>
      <c r="E3" s="101"/>
      <c r="F3" s="103">
        <f>FORMULATION!G4</f>
        <v>2</v>
      </c>
      <c r="G3" s="94"/>
      <c r="H3" s="93"/>
      <c r="I3" s="93"/>
      <c r="J3" s="94"/>
      <c r="K3" s="94"/>
      <c r="L3" s="94"/>
    </row>
    <row r="4" spans="1:12" s="95" customFormat="1" ht="15.6" x14ac:dyDescent="0.3">
      <c r="A4" s="20"/>
      <c r="B4" s="35" t="s">
        <v>147</v>
      </c>
      <c r="C4" s="104"/>
      <c r="D4" s="105" t="str">
        <f>FORMULATION!$E$4</f>
        <v>Dry Matter Basis</v>
      </c>
      <c r="E4" s="101"/>
      <c r="F4" s="101"/>
      <c r="G4" s="93"/>
      <c r="H4" s="93"/>
      <c r="I4" s="93"/>
      <c r="J4" s="94"/>
      <c r="K4" s="94"/>
      <c r="L4" s="94"/>
    </row>
    <row r="5" spans="1:12" s="95" customFormat="1" ht="15" x14ac:dyDescent="0.25">
      <c r="A5" s="20"/>
      <c r="B5" s="106"/>
      <c r="C5" s="106"/>
      <c r="D5" s="106"/>
      <c r="E5" s="106"/>
      <c r="F5" s="106"/>
      <c r="G5" s="94"/>
      <c r="H5" s="94"/>
      <c r="I5" s="94"/>
      <c r="J5" s="94"/>
      <c r="K5" s="94"/>
      <c r="L5" s="94"/>
    </row>
    <row r="6" spans="1:12" s="95" customFormat="1" ht="15" x14ac:dyDescent="0.25">
      <c r="A6" s="20"/>
      <c r="C6" s="107" t="s">
        <v>158</v>
      </c>
      <c r="D6" s="83">
        <v>2000</v>
      </c>
      <c r="E6" s="35" t="s">
        <v>157</v>
      </c>
      <c r="F6" s="106"/>
      <c r="G6" s="94"/>
      <c r="H6" s="96"/>
      <c r="I6" s="96"/>
      <c r="J6" s="94"/>
      <c r="K6" s="94"/>
      <c r="L6" s="94"/>
    </row>
    <row r="7" spans="1:12" s="95" customFormat="1" ht="15" x14ac:dyDescent="0.25">
      <c r="A7" s="20"/>
      <c r="B7" s="107"/>
      <c r="C7" s="107"/>
      <c r="D7" s="107"/>
      <c r="E7" s="107"/>
      <c r="F7" s="84" t="s">
        <v>85</v>
      </c>
      <c r="G7" s="97"/>
      <c r="H7" s="96"/>
      <c r="I7" s="96"/>
      <c r="J7" s="94"/>
      <c r="K7" s="94"/>
      <c r="L7" s="94"/>
    </row>
    <row r="8" spans="1:12" s="95" customFormat="1" ht="15.6" thickBot="1" x14ac:dyDescent="0.3">
      <c r="A8" s="20"/>
      <c r="B8" s="108" t="s">
        <v>86</v>
      </c>
      <c r="C8" s="108" t="s">
        <v>87</v>
      </c>
      <c r="D8" s="108" t="s">
        <v>135</v>
      </c>
      <c r="E8" s="108" t="s">
        <v>88</v>
      </c>
      <c r="F8" s="108" t="s">
        <v>88</v>
      </c>
      <c r="G8" s="98"/>
      <c r="H8" s="96"/>
      <c r="I8" s="96"/>
      <c r="J8" s="94"/>
      <c r="K8" s="94"/>
      <c r="L8" s="94"/>
    </row>
    <row r="9" spans="1:12" s="95" customFormat="1" ht="18" customHeight="1" x14ac:dyDescent="0.25">
      <c r="A9" s="20"/>
      <c r="B9" s="109" t="str">
        <f>FORMULATION!C8</f>
        <v>ALFALFA HAY, FAIR</v>
      </c>
      <c r="C9" s="35">
        <f>FORMULATION!B8</f>
        <v>3</v>
      </c>
      <c r="D9" s="110">
        <f>IF(F$3=1,NUTRIENTS!AA7,NUTRIENTS!AE7)</f>
        <v>0</v>
      </c>
      <c r="E9" s="111">
        <f>D9/100*D$6</f>
        <v>0</v>
      </c>
      <c r="F9" s="112">
        <f>E9</f>
        <v>0</v>
      </c>
      <c r="G9" s="99"/>
      <c r="H9" s="96"/>
      <c r="I9" s="96"/>
      <c r="J9" s="94"/>
      <c r="K9" s="94"/>
      <c r="L9" s="94"/>
    </row>
    <row r="10" spans="1:12" s="95" customFormat="1" ht="15" x14ac:dyDescent="0.25">
      <c r="A10" s="20"/>
      <c r="B10" s="113" t="str">
        <f>FORMULATION!C9</f>
        <v xml:space="preserve">GRASS HAY </v>
      </c>
      <c r="C10" s="35">
        <f>FORMULATION!B9</f>
        <v>15</v>
      </c>
      <c r="D10" s="110">
        <f>IF(F$3=1,NUTRIENTS!AA8,NUTRIENTS!AE8)</f>
        <v>89.140880556547188</v>
      </c>
      <c r="E10" s="111">
        <f t="shared" ref="E10:E28" si="0">D10/100*D$6</f>
        <v>1782.8176111309438</v>
      </c>
      <c r="F10" s="114">
        <f>(D10/100*D$6)+IF(D10&gt;0,F9,0)</f>
        <v>1782.8176111309438</v>
      </c>
      <c r="G10" s="99"/>
      <c r="H10" s="96"/>
      <c r="I10" s="96"/>
      <c r="J10" s="94"/>
      <c r="K10" s="94"/>
      <c r="L10" s="94"/>
    </row>
    <row r="11" spans="1:12" s="95" customFormat="1" ht="15" x14ac:dyDescent="0.25">
      <c r="A11" s="20"/>
      <c r="B11" s="113" t="str">
        <f>FORMULATION!C10</f>
        <v>DISTILLERS GRAINS</v>
      </c>
      <c r="C11" s="35">
        <f>FORMULATION!B10</f>
        <v>320</v>
      </c>
      <c r="D11" s="110">
        <f>IF(F$3=1,NUTRIENTS!AA9,NUTRIENTS!AE9)</f>
        <v>10.399030221316623</v>
      </c>
      <c r="E11" s="111">
        <f t="shared" si="0"/>
        <v>207.98060442633249</v>
      </c>
      <c r="F11" s="114">
        <f t="shared" ref="F11:F28" si="1">(D11/100*D$6)+IF(D11&gt;0,F10,0)</f>
        <v>1990.7982155572763</v>
      </c>
      <c r="G11" s="99"/>
      <c r="H11" s="96"/>
      <c r="I11" s="96"/>
      <c r="J11" s="94"/>
      <c r="K11" s="94"/>
      <c r="L11" s="94"/>
    </row>
    <row r="12" spans="1:12" s="95" customFormat="1" ht="15" x14ac:dyDescent="0.25">
      <c r="A12" s="20"/>
      <c r="B12" s="113" t="str">
        <f>FORMULATION!C11</f>
        <v>CORN, WHOLE HAY</v>
      </c>
      <c r="C12" s="35">
        <f>FORMULATION!B11</f>
        <v>11</v>
      </c>
      <c r="D12" s="110">
        <f>IF(F$3=1,NUTRIENTS!AA10,NUTRIENTS!AE10)</f>
        <v>0</v>
      </c>
      <c r="E12" s="111">
        <f t="shared" si="0"/>
        <v>0</v>
      </c>
      <c r="F12" s="114">
        <f t="shared" si="1"/>
        <v>0</v>
      </c>
      <c r="G12" s="99"/>
      <c r="H12" s="96"/>
      <c r="I12" s="96"/>
      <c r="J12" s="94"/>
      <c r="K12" s="94"/>
      <c r="L12" s="94"/>
    </row>
    <row r="13" spans="1:12" s="95" customFormat="1" ht="15" x14ac:dyDescent="0.25">
      <c r="A13" s="20"/>
      <c r="B13" s="113" t="str">
        <f>FORMULATION!C12</f>
        <v>LIMESTONE 38%</v>
      </c>
      <c r="C13" s="35">
        <f>FORMULATION!B12</f>
        <v>809</v>
      </c>
      <c r="D13" s="110">
        <f>IF(F$3=1,NUTRIENTS!AA11,NUTRIENTS!AE11)</f>
        <v>0.46008922213619369</v>
      </c>
      <c r="E13" s="111">
        <f t="shared" si="0"/>
        <v>9.2017844427238735</v>
      </c>
      <c r="F13" s="114">
        <f t="shared" si="1"/>
        <v>9.2017844427238735</v>
      </c>
      <c r="G13" s="99"/>
      <c r="H13" s="96"/>
      <c r="I13" s="96"/>
      <c r="J13" s="94"/>
      <c r="K13" s="94"/>
      <c r="L13" s="94"/>
    </row>
    <row r="14" spans="1:12" s="95" customFormat="1" ht="15" x14ac:dyDescent="0.25">
      <c r="A14" s="20"/>
      <c r="B14" s="113">
        <f>FORMULATION!C13</f>
        <v>0</v>
      </c>
      <c r="C14" s="35">
        <f>FORMULATION!B13</f>
        <v>0</v>
      </c>
      <c r="D14" s="110">
        <f>IF(F$3=1,NUTRIENTS!AA12,NUTRIENTS!AE12)</f>
        <v>0</v>
      </c>
      <c r="E14" s="111">
        <f t="shared" si="0"/>
        <v>0</v>
      </c>
      <c r="F14" s="114">
        <f t="shared" si="1"/>
        <v>0</v>
      </c>
      <c r="G14" s="99"/>
      <c r="H14" s="96"/>
      <c r="I14" s="96"/>
      <c r="J14" s="94"/>
      <c r="K14" s="94"/>
      <c r="L14" s="94"/>
    </row>
    <row r="15" spans="1:12" s="95" customFormat="1" ht="15" x14ac:dyDescent="0.25">
      <c r="A15" s="20"/>
      <c r="B15" s="113">
        <f>FORMULATION!C14</f>
        <v>0</v>
      </c>
      <c r="C15" s="35">
        <f>FORMULATION!B14</f>
        <v>0</v>
      </c>
      <c r="D15" s="110">
        <f>IF(F$3=1,NUTRIENTS!AA13,NUTRIENTS!AE13)</f>
        <v>0</v>
      </c>
      <c r="E15" s="111">
        <f t="shared" si="0"/>
        <v>0</v>
      </c>
      <c r="F15" s="114">
        <f t="shared" si="1"/>
        <v>0</v>
      </c>
      <c r="G15" s="99"/>
      <c r="H15" s="96"/>
      <c r="I15" s="96"/>
      <c r="J15" s="94"/>
      <c r="K15" s="94"/>
      <c r="L15" s="94"/>
    </row>
    <row r="16" spans="1:12" s="95" customFormat="1" ht="15" x14ac:dyDescent="0.25">
      <c r="A16" s="20"/>
      <c r="B16" s="113">
        <f>FORMULATION!C15</f>
        <v>0</v>
      </c>
      <c r="C16" s="35">
        <f>FORMULATION!B15</f>
        <v>0</v>
      </c>
      <c r="D16" s="110">
        <f>IF(F$3=1,NUTRIENTS!AA14,NUTRIENTS!AE14)</f>
        <v>0</v>
      </c>
      <c r="E16" s="111">
        <f t="shared" si="0"/>
        <v>0</v>
      </c>
      <c r="F16" s="114">
        <f t="shared" si="1"/>
        <v>0</v>
      </c>
      <c r="G16" s="99"/>
      <c r="H16" s="96"/>
      <c r="I16" s="96"/>
      <c r="J16" s="94"/>
      <c r="K16" s="94"/>
      <c r="L16" s="94"/>
    </row>
    <row r="17" spans="1:12" s="95" customFormat="1" ht="15" x14ac:dyDescent="0.25">
      <c r="A17" s="20"/>
      <c r="B17" s="113">
        <f>FORMULATION!C16</f>
        <v>0</v>
      </c>
      <c r="C17" s="35">
        <f>FORMULATION!B16</f>
        <v>0</v>
      </c>
      <c r="D17" s="110">
        <f>IF(F$3=1,NUTRIENTS!AA15,NUTRIENTS!AE15)</f>
        <v>0</v>
      </c>
      <c r="E17" s="111">
        <f t="shared" si="0"/>
        <v>0</v>
      </c>
      <c r="F17" s="114">
        <f t="shared" si="1"/>
        <v>0</v>
      </c>
      <c r="G17" s="99"/>
      <c r="H17" s="96"/>
      <c r="I17" s="96"/>
      <c r="J17" s="94"/>
      <c r="K17" s="94"/>
      <c r="L17" s="94"/>
    </row>
    <row r="18" spans="1:12" s="95" customFormat="1" ht="15" x14ac:dyDescent="0.25">
      <c r="A18" s="20"/>
      <c r="B18" s="113">
        <f>FORMULATION!C17</f>
        <v>0</v>
      </c>
      <c r="C18" s="35">
        <f>FORMULATION!B17</f>
        <v>0</v>
      </c>
      <c r="D18" s="110">
        <f>IF(F$3=1,NUTRIENTS!AA16,NUTRIENTS!AE16)</f>
        <v>0</v>
      </c>
      <c r="E18" s="111">
        <f t="shared" si="0"/>
        <v>0</v>
      </c>
      <c r="F18" s="114">
        <f t="shared" si="1"/>
        <v>0</v>
      </c>
      <c r="G18" s="99"/>
      <c r="H18" s="96"/>
      <c r="I18" s="96"/>
      <c r="J18" s="94"/>
      <c r="K18" s="94"/>
      <c r="L18" s="94"/>
    </row>
    <row r="19" spans="1:12" s="95" customFormat="1" ht="15" x14ac:dyDescent="0.25">
      <c r="A19" s="20"/>
      <c r="B19" s="113">
        <f>FORMULATION!C18</f>
        <v>0</v>
      </c>
      <c r="C19" s="35">
        <f>FORMULATION!B18</f>
        <v>0</v>
      </c>
      <c r="D19" s="110">
        <f>IF(F$3=1,NUTRIENTS!AA17,NUTRIENTS!AE17)</f>
        <v>0</v>
      </c>
      <c r="E19" s="111">
        <f t="shared" si="0"/>
        <v>0</v>
      </c>
      <c r="F19" s="114">
        <f t="shared" si="1"/>
        <v>0</v>
      </c>
      <c r="G19" s="99"/>
      <c r="H19" s="96"/>
      <c r="I19" s="96"/>
      <c r="J19" s="94"/>
      <c r="K19" s="94"/>
      <c r="L19" s="94"/>
    </row>
    <row r="20" spans="1:12" s="95" customFormat="1" ht="15" x14ac:dyDescent="0.25">
      <c r="A20" s="20"/>
      <c r="B20" s="113">
        <f>FORMULATION!C19</f>
        <v>0</v>
      </c>
      <c r="C20" s="35">
        <f>FORMULATION!B19</f>
        <v>0</v>
      </c>
      <c r="D20" s="110">
        <f>IF(F$3=1,NUTRIENTS!AA18,NUTRIENTS!AE18)</f>
        <v>0</v>
      </c>
      <c r="E20" s="111">
        <f t="shared" si="0"/>
        <v>0</v>
      </c>
      <c r="F20" s="114">
        <f t="shared" si="1"/>
        <v>0</v>
      </c>
      <c r="G20" s="99"/>
      <c r="H20" s="96"/>
      <c r="I20" s="96"/>
      <c r="J20" s="94"/>
      <c r="K20" s="94"/>
      <c r="L20" s="94"/>
    </row>
    <row r="21" spans="1:12" s="95" customFormat="1" ht="15" x14ac:dyDescent="0.25">
      <c r="A21" s="20"/>
      <c r="B21" s="113">
        <f>FORMULATION!C20</f>
        <v>0</v>
      </c>
      <c r="C21" s="35">
        <f>FORMULATION!B20</f>
        <v>0</v>
      </c>
      <c r="D21" s="110">
        <f>IF(F$3=1,NUTRIENTS!AA19,NUTRIENTS!AE19)</f>
        <v>0</v>
      </c>
      <c r="E21" s="111">
        <f t="shared" si="0"/>
        <v>0</v>
      </c>
      <c r="F21" s="114">
        <f t="shared" si="1"/>
        <v>0</v>
      </c>
      <c r="G21" s="99"/>
      <c r="H21" s="96"/>
      <c r="I21" s="96"/>
      <c r="J21" s="94"/>
      <c r="K21" s="94"/>
      <c r="L21" s="94"/>
    </row>
    <row r="22" spans="1:12" s="95" customFormat="1" ht="15" x14ac:dyDescent="0.25">
      <c r="A22" s="20"/>
      <c r="B22" s="113">
        <f>FORMULATION!C21</f>
        <v>0</v>
      </c>
      <c r="C22" s="35">
        <f>FORMULATION!B21</f>
        <v>0</v>
      </c>
      <c r="D22" s="110">
        <f>IF(F$3=1,NUTRIENTS!AA20,NUTRIENTS!AE20)</f>
        <v>0</v>
      </c>
      <c r="E22" s="111">
        <f t="shared" si="0"/>
        <v>0</v>
      </c>
      <c r="F22" s="114">
        <f t="shared" si="1"/>
        <v>0</v>
      </c>
      <c r="G22" s="99"/>
      <c r="H22" s="96"/>
      <c r="I22" s="96"/>
      <c r="J22" s="94"/>
      <c r="K22" s="94"/>
      <c r="L22" s="94"/>
    </row>
    <row r="23" spans="1:12" s="95" customFormat="1" ht="15" x14ac:dyDescent="0.25">
      <c r="A23" s="20"/>
      <c r="B23" s="113">
        <f>FORMULATION!C22</f>
        <v>0</v>
      </c>
      <c r="C23" s="35">
        <f>FORMULATION!B22</f>
        <v>0</v>
      </c>
      <c r="D23" s="110">
        <f>IF(F$3=1,NUTRIENTS!AA21,NUTRIENTS!AE21)</f>
        <v>0</v>
      </c>
      <c r="E23" s="111">
        <f t="shared" si="0"/>
        <v>0</v>
      </c>
      <c r="F23" s="114">
        <f t="shared" si="1"/>
        <v>0</v>
      </c>
      <c r="G23" s="99"/>
      <c r="H23" s="96"/>
      <c r="I23" s="96"/>
      <c r="J23" s="94"/>
      <c r="K23" s="94"/>
      <c r="L23" s="94"/>
    </row>
    <row r="24" spans="1:12" s="95" customFormat="1" ht="15" x14ac:dyDescent="0.25">
      <c r="A24" s="20"/>
      <c r="B24" s="113">
        <f>FORMULATION!C23</f>
        <v>0</v>
      </c>
      <c r="C24" s="35">
        <f>FORMULATION!B23</f>
        <v>0</v>
      </c>
      <c r="D24" s="110">
        <f>IF(F$3=1,NUTRIENTS!AA22,NUTRIENTS!AE22)</f>
        <v>0</v>
      </c>
      <c r="E24" s="111">
        <f t="shared" si="0"/>
        <v>0</v>
      </c>
      <c r="F24" s="114">
        <f t="shared" si="1"/>
        <v>0</v>
      </c>
      <c r="G24" s="99"/>
      <c r="H24" s="96"/>
      <c r="I24" s="96"/>
      <c r="J24" s="94"/>
      <c r="K24" s="94"/>
      <c r="L24" s="94"/>
    </row>
    <row r="25" spans="1:12" s="95" customFormat="1" ht="15" x14ac:dyDescent="0.25">
      <c r="A25" s="20"/>
      <c r="B25" s="113">
        <f>FORMULATION!C24</f>
        <v>0</v>
      </c>
      <c r="C25" s="78">
        <f>FORMULATION!B24</f>
        <v>0</v>
      </c>
      <c r="D25" s="110">
        <f>IF(F$3=1,NUTRIENTS!AA23,NUTRIENTS!AE23)</f>
        <v>0</v>
      </c>
      <c r="E25" s="111">
        <f t="shared" si="0"/>
        <v>0</v>
      </c>
      <c r="F25" s="114">
        <f t="shared" si="1"/>
        <v>0</v>
      </c>
      <c r="G25" s="99"/>
      <c r="H25" s="96"/>
      <c r="I25" s="96"/>
      <c r="J25" s="94"/>
      <c r="K25" s="94"/>
      <c r="L25" s="94"/>
    </row>
    <row r="26" spans="1:12" s="95" customFormat="1" ht="15" x14ac:dyDescent="0.25">
      <c r="A26" s="20"/>
      <c r="B26" s="113">
        <f>FORMULATION!C25</f>
        <v>0</v>
      </c>
      <c r="C26" s="78">
        <f>FORMULATION!B25</f>
        <v>0</v>
      </c>
      <c r="D26" s="110">
        <f>IF(F$3=1,NUTRIENTS!AA24,NUTRIENTS!AE24)</f>
        <v>0</v>
      </c>
      <c r="E26" s="111">
        <f t="shared" si="0"/>
        <v>0</v>
      </c>
      <c r="F26" s="114">
        <f t="shared" si="1"/>
        <v>0</v>
      </c>
      <c r="G26" s="99"/>
      <c r="H26" s="96"/>
      <c r="I26" s="96"/>
      <c r="J26" s="94"/>
      <c r="K26" s="94"/>
      <c r="L26" s="94"/>
    </row>
    <row r="27" spans="1:12" s="95" customFormat="1" ht="15" x14ac:dyDescent="0.25">
      <c r="A27" s="20"/>
      <c r="B27" s="113">
        <f>FORMULATION!C26</f>
        <v>0</v>
      </c>
      <c r="C27" s="78">
        <f>FORMULATION!B26</f>
        <v>0</v>
      </c>
      <c r="D27" s="110">
        <f>IF(F$3=1,NUTRIENTS!AA25,NUTRIENTS!AE25)</f>
        <v>0</v>
      </c>
      <c r="E27" s="111">
        <f t="shared" si="0"/>
        <v>0</v>
      </c>
      <c r="F27" s="114">
        <f t="shared" si="1"/>
        <v>0</v>
      </c>
      <c r="G27" s="99"/>
      <c r="H27" s="96"/>
      <c r="I27" s="96"/>
      <c r="J27" s="94"/>
      <c r="K27" s="94"/>
      <c r="L27" s="94"/>
    </row>
    <row r="28" spans="1:12" s="95" customFormat="1" ht="15.6" thickBot="1" x14ac:dyDescent="0.3">
      <c r="A28" s="20"/>
      <c r="B28" s="115">
        <f>FORMULATION!C27</f>
        <v>0</v>
      </c>
      <c r="C28" s="116">
        <f>FORMULATION!B27</f>
        <v>0</v>
      </c>
      <c r="D28" s="117">
        <f>IF(F$3=1,NUTRIENTS!AA26,NUTRIENTS!AE26)</f>
        <v>0</v>
      </c>
      <c r="E28" s="118">
        <f t="shared" si="0"/>
        <v>0</v>
      </c>
      <c r="F28" s="119">
        <f t="shared" si="1"/>
        <v>0</v>
      </c>
      <c r="G28" s="99"/>
      <c r="H28" s="96"/>
      <c r="I28" s="96"/>
      <c r="J28" s="94"/>
      <c r="K28" s="94"/>
      <c r="L28" s="94"/>
    </row>
    <row r="29" spans="1:12" s="95" customFormat="1" ht="15" x14ac:dyDescent="0.25">
      <c r="A29" s="20"/>
      <c r="B29" s="107"/>
      <c r="C29" s="107"/>
      <c r="D29" s="35">
        <f>SUM(D9:D28)</f>
        <v>100</v>
      </c>
      <c r="E29" s="111">
        <f>SUM(E9:E28)</f>
        <v>2000.0000000000002</v>
      </c>
      <c r="F29" s="111"/>
      <c r="G29" s="94"/>
      <c r="H29" s="96"/>
      <c r="I29" s="96"/>
      <c r="J29" s="94"/>
      <c r="K29" s="94"/>
      <c r="L29" s="94"/>
    </row>
    <row r="30" spans="1:12" s="95" customFormat="1" ht="15" x14ac:dyDescent="0.25">
      <c r="A30" s="20"/>
      <c r="B30" s="35"/>
      <c r="C30" s="35"/>
      <c r="D30" s="35"/>
      <c r="E30" s="106"/>
      <c r="F30" s="111"/>
      <c r="G30" s="96"/>
      <c r="H30" s="96"/>
      <c r="I30" s="96"/>
      <c r="J30" s="94"/>
      <c r="K30" s="94"/>
      <c r="L30" s="94"/>
    </row>
    <row r="31" spans="1:12" s="95" customFormat="1" ht="15" x14ac:dyDescent="0.25">
      <c r="A31" s="20"/>
      <c r="B31" s="35" t="s">
        <v>159</v>
      </c>
      <c r="C31" s="35"/>
      <c r="D31" s="35"/>
      <c r="E31" s="35"/>
      <c r="F31" s="35"/>
      <c r="G31" s="96"/>
      <c r="H31" s="96"/>
      <c r="I31" s="96"/>
      <c r="J31" s="94"/>
      <c r="K31" s="94"/>
      <c r="L31" s="94"/>
    </row>
    <row r="32" spans="1:12" s="95" customFormat="1" ht="15" x14ac:dyDescent="0.25">
      <c r="A32" s="20"/>
      <c r="B32" s="35"/>
      <c r="C32" s="35"/>
      <c r="D32" s="35"/>
      <c r="E32" s="35"/>
      <c r="F32" s="35"/>
      <c r="G32" s="96"/>
      <c r="H32" s="96"/>
      <c r="I32" s="96"/>
      <c r="J32" s="94"/>
      <c r="K32" s="94"/>
      <c r="L32" s="94"/>
    </row>
    <row r="33" spans="1:12" s="95" customFormat="1" ht="15" x14ac:dyDescent="0.25">
      <c r="A33" s="20"/>
      <c r="B33" s="84" t="str">
        <f>IF(F3=1,"AS FED FEED/DAY","FEED DRY MATTER/DAY")</f>
        <v>FEED DRY MATTER/DAY</v>
      </c>
      <c r="C33" s="120">
        <f>FORMULATION!E31</f>
        <v>14.852575758751883</v>
      </c>
      <c r="D33" s="84" t="str">
        <f>IF(F3=1,"FEED DRY MATTER/DAY LBS","AS FED FEED/DAY LBS")</f>
        <v>AS FED FEED/DAY LBS</v>
      </c>
      <c r="E33" s="35"/>
      <c r="F33" s="80">
        <f>FORMULATION!J31</f>
        <v>16.205796549790893</v>
      </c>
      <c r="G33" s="96"/>
      <c r="H33" s="96"/>
      <c r="I33" s="94"/>
      <c r="J33" s="94"/>
      <c r="K33" s="94"/>
      <c r="L33" s="94"/>
    </row>
    <row r="34" spans="1:12" s="95" customFormat="1" ht="15" x14ac:dyDescent="0.25">
      <c r="A34" s="20"/>
      <c r="B34" s="84" t="s">
        <v>61</v>
      </c>
      <c r="C34" s="120">
        <f>FORMULATION!E32</f>
        <v>500</v>
      </c>
      <c r="D34" s="84" t="s">
        <v>94</v>
      </c>
      <c r="E34" s="35"/>
      <c r="F34" s="80">
        <f>FORMULATION!J32</f>
        <v>1.7408571473086862</v>
      </c>
      <c r="G34" s="96"/>
      <c r="H34" s="100"/>
      <c r="I34" s="96"/>
      <c r="J34" s="94"/>
      <c r="K34" s="94"/>
      <c r="L34" s="94"/>
    </row>
    <row r="35" spans="1:12" s="95" customFormat="1" ht="15" x14ac:dyDescent="0.25">
      <c r="A35" s="20"/>
      <c r="B35" s="84" t="s">
        <v>62</v>
      </c>
      <c r="C35" s="120">
        <f>FORMULATION!E33</f>
        <v>1</v>
      </c>
      <c r="D35" s="121" t="s">
        <v>95</v>
      </c>
      <c r="E35" s="122" t="str">
        <f>D4</f>
        <v>Dry Matter Basis</v>
      </c>
      <c r="F35" s="80">
        <f>FORMULATION!J33</f>
        <v>8.5317602203681826</v>
      </c>
      <c r="G35" s="96"/>
      <c r="H35" s="100"/>
      <c r="I35" s="96"/>
      <c r="J35" s="94"/>
      <c r="K35" s="94"/>
      <c r="L35" s="94"/>
    </row>
    <row r="36" spans="1:12" s="95" customFormat="1" ht="33" customHeight="1" x14ac:dyDescent="0.25">
      <c r="A36" s="20"/>
      <c r="B36" s="261" t="str">
        <f>FORMULATION!C39</f>
        <v>LARGE-FRAME BULL CALVES AND COMPENSATING LARGE-FRAME YEARLING STEERS.</v>
      </c>
      <c r="C36" s="261"/>
      <c r="D36" s="261"/>
      <c r="E36" s="261"/>
      <c r="F36" s="261"/>
      <c r="G36" s="96"/>
      <c r="H36" s="96"/>
      <c r="I36" s="96"/>
      <c r="J36" s="94"/>
      <c r="K36" s="94"/>
      <c r="L36" s="94"/>
    </row>
    <row r="37" spans="1:12" s="95" customFormat="1" ht="15" x14ac:dyDescent="0.25">
      <c r="A37" s="20"/>
      <c r="B37" s="106"/>
      <c r="C37" s="106"/>
      <c r="D37" s="106"/>
      <c r="E37" s="106"/>
      <c r="F37" s="106"/>
      <c r="G37" s="96"/>
      <c r="H37" s="96"/>
      <c r="I37" s="96"/>
      <c r="J37" s="94"/>
      <c r="K37" s="94"/>
      <c r="L37" s="94"/>
    </row>
    <row r="38" spans="1:12" s="95" customFormat="1" ht="15" x14ac:dyDescent="0.25">
      <c r="A38" s="20"/>
      <c r="B38" s="88" t="s">
        <v>149</v>
      </c>
      <c r="C38" s="35"/>
      <c r="D38" s="35"/>
      <c r="E38" s="35"/>
      <c r="F38" s="106"/>
      <c r="G38" s="94"/>
      <c r="H38" s="94"/>
      <c r="I38" s="94"/>
      <c r="J38" s="94"/>
      <c r="K38" s="94"/>
      <c r="L38" s="94"/>
    </row>
    <row r="39" spans="1:12" s="95" customFormat="1" ht="15" x14ac:dyDescent="0.25">
      <c r="A39" s="20"/>
      <c r="B39" s="35" t="s">
        <v>141</v>
      </c>
      <c r="C39" s="106"/>
      <c r="D39" s="106"/>
      <c r="E39" s="106"/>
      <c r="F39" s="106"/>
      <c r="G39" s="94"/>
      <c r="H39" s="94"/>
      <c r="I39" s="94"/>
      <c r="J39" s="94"/>
      <c r="K39" s="94"/>
      <c r="L39" s="94"/>
    </row>
    <row r="40" spans="1:12" s="95" customFormat="1" ht="15" x14ac:dyDescent="0.25">
      <c r="A40" s="20"/>
      <c r="B40" s="88" t="s">
        <v>420</v>
      </c>
      <c r="C40" s="35"/>
      <c r="D40" s="106"/>
      <c r="E40" s="35"/>
      <c r="F40" s="35"/>
      <c r="G40" s="96"/>
      <c r="H40" s="96"/>
      <c r="I40" s="96"/>
      <c r="J40" s="94"/>
      <c r="K40" s="94"/>
      <c r="L40" s="94"/>
    </row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</sheetData>
  <sheetProtection password="C032" sheet="1" objects="1" scenarios="1" selectLockedCells="1"/>
  <mergeCells count="3">
    <mergeCell ref="C2:E2"/>
    <mergeCell ref="B1:L1"/>
    <mergeCell ref="B36:F36"/>
  </mergeCells>
  <phoneticPr fontId="0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65536"/>
  <sheetViews>
    <sheetView showGridLines="0" showRowColHeaders="0" showZeros="0" zoomScaleNormal="100" workbookViewId="0">
      <pane xSplit="1" ySplit="6" topLeftCell="B7" activePane="bottomRight" state="frozenSplit"/>
      <selection activeCell="C2" sqref="C2:E2"/>
      <selection pane="topRight" activeCell="C2" sqref="C2:E2"/>
      <selection pane="bottomLeft" activeCell="C2" sqref="C2:E2"/>
      <selection pane="bottomRight" activeCell="A2" sqref="A2"/>
    </sheetView>
  </sheetViews>
  <sheetFormatPr defaultColWidth="0" defaultRowHeight="13.2" x14ac:dyDescent="0.25"/>
  <cols>
    <col min="1" max="1" width="27.21875" style="7" customWidth="1"/>
    <col min="2" max="2" width="11.44140625" style="7" customWidth="1"/>
    <col min="3" max="3" width="8.21875" style="7" customWidth="1"/>
    <col min="4" max="4" width="10.44140625" style="7" customWidth="1"/>
    <col min="5" max="5" width="8" style="7" customWidth="1"/>
    <col min="6" max="6" width="7.77734375" style="7" customWidth="1"/>
    <col min="7" max="7" width="6.21875" style="7" customWidth="1"/>
    <col min="8" max="8" width="7.109375" style="7" customWidth="1"/>
    <col min="9" max="9" width="8.77734375" style="7" customWidth="1"/>
    <col min="10" max="10" width="5.88671875" style="7" customWidth="1"/>
    <col min="11" max="12" width="8.21875" style="7" hidden="1" customWidth="1"/>
    <col min="13" max="13" width="6.33203125" style="7" customWidth="1"/>
    <col min="14" max="15" width="6.88671875" style="7" customWidth="1"/>
    <col min="16" max="16" width="7" style="7" customWidth="1"/>
    <col min="17" max="17" width="5.6640625" style="7" customWidth="1"/>
    <col min="18" max="18" width="8.109375" style="7" customWidth="1"/>
    <col min="19" max="19" width="6.6640625" style="7" customWidth="1"/>
    <col min="20" max="20" width="7.44140625" style="7" customWidth="1"/>
    <col min="21" max="21" width="7.109375" style="7" customWidth="1"/>
    <col min="22" max="22" width="6.6640625" style="7" customWidth="1"/>
    <col min="23" max="23" width="7.88671875" style="7" customWidth="1"/>
    <col min="24" max="26" width="5.44140625" style="7" customWidth="1"/>
    <col min="27" max="16384" width="0" style="7" hidden="1"/>
  </cols>
  <sheetData>
    <row r="1" spans="1:34" ht="17.399999999999999" x14ac:dyDescent="0.3">
      <c r="A1" s="263" t="s">
        <v>418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B1" s="7">
        <f>FORMULATION!G4</f>
        <v>2</v>
      </c>
      <c r="AE1" s="7" t="s">
        <v>120</v>
      </c>
      <c r="AH1" s="7">
        <f>AB27/100</f>
        <v>1.0911101759734587</v>
      </c>
    </row>
    <row r="2" spans="1:34" ht="11.25" customHeigh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34" ht="15.6" x14ac:dyDescent="0.3">
      <c r="A3" s="265" t="s">
        <v>123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34" ht="1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88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F4" s="7" t="s">
        <v>131</v>
      </c>
      <c r="AH4" s="7">
        <f>100/AH1</f>
        <v>91.649773049529784</v>
      </c>
    </row>
    <row r="5" spans="1:34" ht="15.6" thickBot="1" x14ac:dyDescent="0.3">
      <c r="A5" s="35"/>
      <c r="B5" s="35"/>
      <c r="C5" s="35"/>
      <c r="D5" s="35"/>
      <c r="E5" s="262" t="s">
        <v>153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34" s="190" customFormat="1" ht="48.75" customHeight="1" x14ac:dyDescent="0.3">
      <c r="A6" s="161" t="s">
        <v>86</v>
      </c>
      <c r="B6" s="191" t="str">
        <f>FORMULATION!$C$31</f>
        <v>ENTER FEED DRY MATTER PER DAY</v>
      </c>
      <c r="C6" s="123" t="s">
        <v>152</v>
      </c>
      <c r="D6" s="127" t="s">
        <v>1</v>
      </c>
      <c r="E6" s="192" t="s">
        <v>2</v>
      </c>
      <c r="F6" s="192" t="s">
        <v>3</v>
      </c>
      <c r="G6" s="192" t="s">
        <v>4</v>
      </c>
      <c r="H6" s="192" t="s">
        <v>5</v>
      </c>
      <c r="I6" s="192" t="s">
        <v>6</v>
      </c>
      <c r="J6" s="192" t="s">
        <v>7</v>
      </c>
      <c r="K6" s="193" t="s">
        <v>8</v>
      </c>
      <c r="L6" s="193"/>
      <c r="M6" s="127" t="s">
        <v>9</v>
      </c>
      <c r="N6" s="127" t="s">
        <v>10</v>
      </c>
      <c r="O6" s="127" t="s">
        <v>11</v>
      </c>
      <c r="P6" s="127" t="s">
        <v>12</v>
      </c>
      <c r="Q6" s="127" t="s">
        <v>13</v>
      </c>
      <c r="R6" s="127" t="s">
        <v>14</v>
      </c>
      <c r="S6" s="127" t="s">
        <v>15</v>
      </c>
      <c r="T6" s="194" t="s">
        <v>16</v>
      </c>
      <c r="U6" s="192" t="s">
        <v>17</v>
      </c>
      <c r="V6" s="127" t="s">
        <v>90</v>
      </c>
      <c r="W6" s="127" t="s">
        <v>18</v>
      </c>
      <c r="X6" s="127" t="s">
        <v>127</v>
      </c>
      <c r="Y6" s="127" t="s">
        <v>128</v>
      </c>
      <c r="Z6" s="127" t="s">
        <v>129</v>
      </c>
      <c r="AA6" s="22" t="s">
        <v>91</v>
      </c>
      <c r="AB6" s="22" t="s">
        <v>124</v>
      </c>
      <c r="AC6" s="22"/>
      <c r="AD6" s="190" t="s">
        <v>125</v>
      </c>
      <c r="AE6" s="190" t="s">
        <v>130</v>
      </c>
    </row>
    <row r="7" spans="1:34" s="190" customFormat="1" ht="15.6" x14ac:dyDescent="0.3">
      <c r="A7" s="195" t="str">
        <f>FORMULATION!C8</f>
        <v>ALFALFA HAY, FAIR</v>
      </c>
      <c r="B7" s="134">
        <f>FORMULATION!D8</f>
        <v>0</v>
      </c>
      <c r="C7" s="129">
        <f t="shared" ref="C7:C26" si="0">K7</f>
        <v>7.5</v>
      </c>
      <c r="D7" s="135">
        <f>VLOOKUP(FORMULATION!$B8,'FEED LIST'!$A$2:$V$1000,4)</f>
        <v>88</v>
      </c>
      <c r="E7" s="136">
        <f>VLOOKUP(FORMULATION!$B8,'FEED LIST'!$A$2:$V$1000,5)</f>
        <v>56</v>
      </c>
      <c r="F7" s="136">
        <f>VLOOKUP(FORMULATION!$B8,'FEED LIST'!$A$2:$V$1000,6)</f>
        <v>30.91</v>
      </c>
      <c r="G7" s="136">
        <f>VLOOKUP(FORMULATION!$B8,'FEED LIST'!$A$2:$V$1000,7)</f>
        <v>18.3</v>
      </c>
      <c r="H7" s="135">
        <f>VLOOKUP(FORMULATION!$B8,'FEED LIST'!$A$2:$V$1000,8)</f>
        <v>2.06</v>
      </c>
      <c r="I7" s="135">
        <f>VLOOKUP(FORMULATION!$B8,'FEED LIST'!$A$2:$V$1000,9)</f>
        <v>1.5</v>
      </c>
      <c r="J7" s="135">
        <f>VLOOKUP(FORMULATION!$B8,'FEED LIST'!$A$2:$V$1000,10)</f>
        <v>0.27</v>
      </c>
      <c r="K7" s="129">
        <f>VLOOKUP(FORMULATION!$B8,'FEED LIST'!$A$2:$V$1000,11)</f>
        <v>7.5</v>
      </c>
      <c r="L7" s="129"/>
      <c r="M7" s="137">
        <f>VLOOKUP(FORMULATION!$B8,'FEED LIST'!$A$2:$V$1000,12)</f>
        <v>0.33</v>
      </c>
      <c r="N7" s="137">
        <f>VLOOKUP(FORMULATION!$B8,'FEED LIST'!$A$2:$V$1000,13)</f>
        <v>0.28000000000000003</v>
      </c>
      <c r="O7" s="137">
        <f>VLOOKUP(FORMULATION!$B8,'FEED LIST'!$A$2:$V$1000,14)</f>
        <v>0.15</v>
      </c>
      <c r="P7" s="137">
        <f>VLOOKUP(FORMULATION!$B8,'FEED LIST'!$A$2:$V$1000,15)</f>
        <v>11</v>
      </c>
      <c r="Q7" s="138">
        <f>VLOOKUP(FORMULATION!$B8,'FEED LIST'!$A$2:$V$1000,16)</f>
        <v>127</v>
      </c>
      <c r="R7" s="139">
        <f>VLOOKUP(FORMULATION!$B8,'FEED LIST'!$A$2:$V$1000,17)</f>
        <v>42</v>
      </c>
      <c r="S7" s="137">
        <f>VLOOKUP(FORMULATION!$B8,'FEED LIST'!$A$2:$V$1000,18)</f>
        <v>0.28000000000000003</v>
      </c>
      <c r="T7" s="139">
        <f>VLOOKUP(FORMULATION!$B8,'FEED LIST'!$A$2:$V$1000,19)</f>
        <v>25</v>
      </c>
      <c r="U7" s="140">
        <f>VLOOKUP(FORMULATION!$B8,'FEED LIST'!$A$2:$V$1000,20)</f>
        <v>58</v>
      </c>
      <c r="V7" s="140">
        <f>VLOOKUP(FORMULATION!$B8,'FEED LIST'!$A$2:$V$1000,21)</f>
        <v>1.8</v>
      </c>
      <c r="W7" s="140">
        <f>VLOOKUP(FORMULATION!$B8,'FEED LIST'!$A$2:$V$1000,22)</f>
        <v>32</v>
      </c>
      <c r="X7" s="132">
        <f>VLOOKUP(FORMULATION!$B8,'FEED LIST'!$A$2:$Y$1000,23)</f>
        <v>35</v>
      </c>
      <c r="Y7" s="132">
        <f>VLOOKUP(FORMULATION!$B8,'FEED LIST'!$A$2:$Y$1000,24)</f>
        <v>45</v>
      </c>
      <c r="Z7" s="133">
        <f>VLOOKUP(FORMULATION!$B8,'FEED LIST'!$A$2:$Y$1000,25)</f>
        <v>93</v>
      </c>
      <c r="AA7" s="24">
        <f>(FORMULATION!D8/FORMULATION!D$28*100)</f>
        <v>0</v>
      </c>
      <c r="AB7" s="17">
        <f t="shared" ref="AB7:AB26" si="1">IF(AB$1=1,(AA7/100)*D7,(AA7/D7)*100)</f>
        <v>0</v>
      </c>
      <c r="AC7" s="17" t="b">
        <f>ISERR(AB7)</f>
        <v>0</v>
      </c>
      <c r="AD7" s="190">
        <f>IF(AC7,0,AB7)</f>
        <v>0</v>
      </c>
      <c r="AE7" s="190">
        <f>(AD7/AD$28)*100</f>
        <v>0</v>
      </c>
    </row>
    <row r="8" spans="1:34" ht="15.6" x14ac:dyDescent="0.3">
      <c r="A8" s="90" t="str">
        <f>FORMULATION!C9</f>
        <v xml:space="preserve">GRASS HAY </v>
      </c>
      <c r="B8" s="134">
        <f>FORMULATION!D9</f>
        <v>89.5</v>
      </c>
      <c r="C8" s="129">
        <f t="shared" si="0"/>
        <v>5</v>
      </c>
      <c r="D8" s="135">
        <f>VLOOKUP(FORMULATION!$B9,'FEED LIST'!$A$2:$V$1000,4)</f>
        <v>92.019000000000005</v>
      </c>
      <c r="E8" s="136">
        <f>VLOOKUP(FORMULATION!$B9,'FEED LIST'!$A$2:$V$1000,5)</f>
        <v>51</v>
      </c>
      <c r="F8" s="136">
        <f>VLOOKUP(FORMULATION!$B9,'FEED LIST'!$A$2:$V$1000,6)</f>
        <v>25.6</v>
      </c>
      <c r="G8" s="136">
        <f>VLOOKUP(FORMULATION!$B9,'FEED LIST'!$A$2:$V$1000,7)</f>
        <v>10.914</v>
      </c>
      <c r="H8" s="135">
        <f>VLOOKUP(FORMULATION!$B9,'FEED LIST'!$A$2:$V$1000,8)</f>
        <v>1.883</v>
      </c>
      <c r="I8" s="135">
        <f>VLOOKUP(FORMULATION!$B9,'FEED LIST'!$A$2:$V$1000,9)</f>
        <v>0.51500000000000001</v>
      </c>
      <c r="J8" s="135">
        <f>VLOOKUP(FORMULATION!$B9,'FEED LIST'!$A$2:$V$1000,10)</f>
        <v>0.24</v>
      </c>
      <c r="K8" s="129">
        <f>VLOOKUP(FORMULATION!$B9,'FEED LIST'!$A$2:$V$1000,11)</f>
        <v>5</v>
      </c>
      <c r="L8" s="129"/>
      <c r="M8" s="137">
        <f>VLOOKUP(FORMULATION!$B9,'FEED LIST'!$A$2:$V$1000,12)</f>
        <v>0.20499999999999999</v>
      </c>
      <c r="N8" s="137">
        <f>VLOOKUP(FORMULATION!$B9,'FEED LIST'!$A$2:$V$1000,13)</f>
        <v>0.17399999999999999</v>
      </c>
      <c r="O8" s="137">
        <f>VLOOKUP(FORMULATION!$B9,'FEED LIST'!$A$2:$V$1000,14)</f>
        <v>0.88600000000000001</v>
      </c>
      <c r="P8" s="137">
        <f>VLOOKUP(FORMULATION!$B9,'FEED LIST'!$A$2:$V$1000,15)</f>
        <v>8.9309999999999992</v>
      </c>
      <c r="Q8" s="138">
        <f>VLOOKUP(FORMULATION!$B9,'FEED LIST'!$A$2:$V$1000,16)</f>
        <v>185.12100000000001</v>
      </c>
      <c r="R8" s="139">
        <f>VLOOKUP(FORMULATION!$B9,'FEED LIST'!$A$2:$V$1000,17)</f>
        <v>74.947000000000003</v>
      </c>
      <c r="S8" s="137">
        <f>VLOOKUP(FORMULATION!$B9,'FEED LIST'!$A$2:$V$1000,18)</f>
        <v>0</v>
      </c>
      <c r="T8" s="139">
        <f>VLOOKUP(FORMULATION!$B9,'FEED LIST'!$A$2:$V$1000,19)</f>
        <v>35.154000000000003</v>
      </c>
      <c r="U8" s="140">
        <f>VLOOKUP(FORMULATION!$B9,'FEED LIST'!$A$2:$V$1000,20)</f>
        <v>57.396000000000001</v>
      </c>
      <c r="V8" s="140">
        <f>VLOOKUP(FORMULATION!$B9,'FEED LIST'!$A$2:$V$1000,21)</f>
        <v>2.5070000000000001</v>
      </c>
      <c r="W8" s="140">
        <f>VLOOKUP(FORMULATION!$B9,'FEED LIST'!$A$2:$V$1000,22)</f>
        <v>31.401</v>
      </c>
      <c r="X8" s="132">
        <f>VLOOKUP(FORMULATION!$B9,'FEED LIST'!$A$2:$Y$1000,23)</f>
        <v>38.975999999999999</v>
      </c>
      <c r="Y8" s="132">
        <f>VLOOKUP(FORMULATION!$B9,'FEED LIST'!$A$2:$Y$1000,24)</f>
        <v>62.98</v>
      </c>
      <c r="Z8" s="133">
        <f>VLOOKUP(FORMULATION!$B9,'FEED LIST'!$A$2:$Y$1000,25)</f>
        <v>0</v>
      </c>
      <c r="AA8" s="23">
        <f>(FORMULATION!D9/FORMULATION!D$28*100)</f>
        <v>89.5</v>
      </c>
      <c r="AB8" s="17">
        <f t="shared" si="1"/>
        <v>97.262521870483269</v>
      </c>
      <c r="AC8" s="17" t="b">
        <f t="shared" ref="AC8:AC26" si="2">ISERR(AB8)</f>
        <v>0</v>
      </c>
      <c r="AD8" s="7">
        <f t="shared" ref="AD8:AD26" si="3">IF(AC8,0,AB8)</f>
        <v>97.262521870483269</v>
      </c>
      <c r="AE8" s="7">
        <f t="shared" ref="AE8:AE26" si="4">(AD8/AD$28)*100</f>
        <v>89.140880556547188</v>
      </c>
    </row>
    <row r="9" spans="1:34" ht="15.6" x14ac:dyDescent="0.3">
      <c r="A9" s="90" t="str">
        <f>FORMULATION!C10</f>
        <v>DISTILLERS GRAINS</v>
      </c>
      <c r="B9" s="134">
        <f>FORMULATION!D10</f>
        <v>10</v>
      </c>
      <c r="C9" s="129">
        <f t="shared" si="0"/>
        <v>15</v>
      </c>
      <c r="D9" s="135">
        <f>VLOOKUP(FORMULATION!$B10,'FEED LIST'!$A$2:$V$1000,4)</f>
        <v>88.132999999999996</v>
      </c>
      <c r="E9" s="136">
        <f>VLOOKUP(FORMULATION!$B10,'FEED LIST'!$A$2:$V$1000,5)</f>
        <v>98.3</v>
      </c>
      <c r="F9" s="136">
        <f>VLOOKUP(FORMULATION!$B10,'FEED LIST'!$A$2:$V$1000,6)</f>
        <v>67.5</v>
      </c>
      <c r="G9" s="136">
        <f>VLOOKUP(FORMULATION!$B10,'FEED LIST'!$A$2:$V$1000,7)</f>
        <v>31.172000000000001</v>
      </c>
      <c r="H9" s="135">
        <f>VLOOKUP(FORMULATION!$B10,'FEED LIST'!$A$2:$V$1000,8)</f>
        <v>1.0489999999999999</v>
      </c>
      <c r="I9" s="135">
        <f>VLOOKUP(FORMULATION!$B10,'FEED LIST'!$A$2:$V$1000,9)</f>
        <v>8.3000000000000004E-2</v>
      </c>
      <c r="J9" s="135">
        <f>VLOOKUP(FORMULATION!$B10,'FEED LIST'!$A$2:$V$1000,10)</f>
        <v>0.88100000000000001</v>
      </c>
      <c r="K9" s="129">
        <f>VLOOKUP(FORMULATION!$B10,'FEED LIST'!$A$2:$V$1000,11)</f>
        <v>15</v>
      </c>
      <c r="L9" s="129"/>
      <c r="M9" s="137">
        <f>VLOOKUP(FORMULATION!$B10,'FEED LIST'!$A$2:$V$1000,12)</f>
        <v>0.32100000000000001</v>
      </c>
      <c r="N9" s="137">
        <f>VLOOKUP(FORMULATION!$B10,'FEED LIST'!$A$2:$V$1000,13)</f>
        <v>0.63700000000000001</v>
      </c>
      <c r="O9" s="137">
        <f>VLOOKUP(FORMULATION!$B10,'FEED LIST'!$A$2:$V$1000,14)</f>
        <v>0.51600000000000001</v>
      </c>
      <c r="P9" s="137">
        <f>VLOOKUP(FORMULATION!$B10,'FEED LIST'!$A$2:$V$1000,15)</f>
        <v>5.4809999999999999</v>
      </c>
      <c r="Q9" s="138">
        <f>VLOOKUP(FORMULATION!$B10,'FEED LIST'!$A$2:$V$1000,16)</f>
        <v>114.714</v>
      </c>
      <c r="R9" s="139">
        <f>VLOOKUP(FORMULATION!$B10,'FEED LIST'!$A$2:$V$1000,17)</f>
        <v>23.555</v>
      </c>
      <c r="S9" s="137">
        <f>VLOOKUP(FORMULATION!$B10,'FEED LIST'!$A$2:$V$1000,18)</f>
        <v>0.42</v>
      </c>
      <c r="T9" s="139">
        <f>VLOOKUP(FORMULATION!$B10,'FEED LIST'!$A$2:$V$1000,19)</f>
        <v>64.762</v>
      </c>
      <c r="U9" s="140">
        <f>VLOOKUP(FORMULATION!$B10,'FEED LIST'!$A$2:$V$1000,20)</f>
        <v>83.001000000000005</v>
      </c>
      <c r="V9" s="140">
        <f>VLOOKUP(FORMULATION!$B10,'FEED LIST'!$A$2:$V$1000,21)</f>
        <v>12.573</v>
      </c>
      <c r="W9" s="140">
        <f>VLOOKUP(FORMULATION!$B10,'FEED LIST'!$A$2:$V$1000,22)</f>
        <v>7.4459999999999997</v>
      </c>
      <c r="X9" s="132">
        <f>VLOOKUP(FORMULATION!$B10,'FEED LIST'!$A$2:$Y$1000,23)</f>
        <v>16.806999999999999</v>
      </c>
      <c r="Y9" s="132">
        <f>VLOOKUP(FORMULATION!$B10,'FEED LIST'!$A$2:$Y$1000,24)</f>
        <v>33.954000000000001</v>
      </c>
      <c r="Z9" s="133">
        <f>VLOOKUP(FORMULATION!$B10,'FEED LIST'!$A$2:$Y$1000,25)</f>
        <v>4</v>
      </c>
      <c r="AA9" s="23">
        <f>(FORMULATION!D10/FORMULATION!D$28*100)</f>
        <v>10</v>
      </c>
      <c r="AB9" s="17">
        <f t="shared" si="1"/>
        <v>11.346487694734096</v>
      </c>
      <c r="AC9" s="17" t="b">
        <f t="shared" si="2"/>
        <v>0</v>
      </c>
      <c r="AD9" s="7">
        <f t="shared" si="3"/>
        <v>11.346487694734096</v>
      </c>
      <c r="AE9" s="7">
        <f t="shared" si="4"/>
        <v>10.399030221316623</v>
      </c>
    </row>
    <row r="10" spans="1:34" ht="15.6" x14ac:dyDescent="0.3">
      <c r="A10" s="90" t="str">
        <f>FORMULATION!C11</f>
        <v>CORN, WHOLE HAY</v>
      </c>
      <c r="B10" s="134">
        <f>FORMULATION!D11</f>
        <v>0</v>
      </c>
      <c r="C10" s="129">
        <f t="shared" si="0"/>
        <v>0</v>
      </c>
      <c r="D10" s="135">
        <f>VLOOKUP(FORMULATION!$B11,'FEED LIST'!$A$2:$V$1000,4)</f>
        <v>87.6</v>
      </c>
      <c r="E10" s="136">
        <f>VLOOKUP(FORMULATION!$B11,'FEED LIST'!$A$2:$V$1000,5)</f>
        <v>45</v>
      </c>
      <c r="F10" s="136">
        <f>VLOOKUP(FORMULATION!$B11,'FEED LIST'!$A$2:$V$1000,6)</f>
        <v>20</v>
      </c>
      <c r="G10" s="136">
        <f>VLOOKUP(FORMULATION!$B11,'FEED LIST'!$A$2:$V$1000,7)</f>
        <v>8.7799999999999994</v>
      </c>
      <c r="H10" s="135">
        <f>VLOOKUP(FORMULATION!$B11,'FEED LIST'!$A$2:$V$1000,8)</f>
        <v>1.45</v>
      </c>
      <c r="I10" s="135">
        <f>VLOOKUP(FORMULATION!$B11,'FEED LIST'!$A$2:$V$1000,9)</f>
        <v>0.56999999999999995</v>
      </c>
      <c r="J10" s="135">
        <f>VLOOKUP(FORMULATION!$B11,'FEED LIST'!$A$2:$V$1000,10)</f>
        <v>0.1</v>
      </c>
      <c r="K10" s="129">
        <f>VLOOKUP(FORMULATION!$B11,'FEED LIST'!$A$2:$V$1000,11)</f>
        <v>0</v>
      </c>
      <c r="L10" s="129"/>
      <c r="M10" s="137">
        <f>VLOOKUP(FORMULATION!$B11,'FEED LIST'!$A$2:$V$1000,12)</f>
        <v>0</v>
      </c>
      <c r="N10" s="137">
        <f>VLOOKUP(FORMULATION!$B11,'FEED LIST'!$A$2:$V$1000,13)</f>
        <v>0</v>
      </c>
      <c r="O10" s="137">
        <f>VLOOKUP(FORMULATION!$B11,'FEED LIST'!$A$2:$V$1000,14)</f>
        <v>0</v>
      </c>
      <c r="P10" s="137">
        <f>VLOOKUP(FORMULATION!$B11,'FEED LIST'!$A$2:$V$1000,15)</f>
        <v>0</v>
      </c>
      <c r="Q10" s="138">
        <f>VLOOKUP(FORMULATION!$B11,'FEED LIST'!$A$2:$V$1000,16)</f>
        <v>0</v>
      </c>
      <c r="R10" s="139">
        <f>VLOOKUP(FORMULATION!$B11,'FEED LIST'!$A$2:$V$1000,17)</f>
        <v>0</v>
      </c>
      <c r="S10" s="137">
        <f>VLOOKUP(FORMULATION!$B11,'FEED LIST'!$A$2:$V$1000,18)</f>
        <v>0</v>
      </c>
      <c r="T10" s="139">
        <f>VLOOKUP(FORMULATION!$B11,'FEED LIST'!$A$2:$V$1000,19)</f>
        <v>0</v>
      </c>
      <c r="U10" s="140">
        <f>VLOOKUP(FORMULATION!$B11,'FEED LIST'!$A$2:$V$1000,20)</f>
        <v>50.9</v>
      </c>
      <c r="V10" s="140">
        <f>VLOOKUP(FORMULATION!$B11,'FEED LIST'!$A$2:$V$1000,21)</f>
        <v>0</v>
      </c>
      <c r="W10" s="140">
        <f>VLOOKUP(FORMULATION!$B11,'FEED LIST'!$A$2:$V$1000,22)</f>
        <v>34</v>
      </c>
      <c r="X10" s="132">
        <f>VLOOKUP(FORMULATION!$B11,'FEED LIST'!$A$2:$Y$1000,23)</f>
        <v>44.85</v>
      </c>
      <c r="Y10" s="132">
        <f>VLOOKUP(FORMULATION!$B11,'FEED LIST'!$A$2:$Y$1000,24)</f>
        <v>71.459999999999994</v>
      </c>
      <c r="Z10" s="133">
        <f>VLOOKUP(FORMULATION!$B11,'FEED LIST'!$A$2:$Y$1000,25)</f>
        <v>0</v>
      </c>
      <c r="AA10" s="23">
        <f>(FORMULATION!D11/FORMULATION!D$28*100)</f>
        <v>0</v>
      </c>
      <c r="AB10" s="17">
        <f t="shared" si="1"/>
        <v>0</v>
      </c>
      <c r="AC10" s="17" t="b">
        <f t="shared" si="2"/>
        <v>0</v>
      </c>
      <c r="AD10" s="7">
        <f t="shared" si="3"/>
        <v>0</v>
      </c>
      <c r="AE10" s="7">
        <f t="shared" si="4"/>
        <v>0</v>
      </c>
    </row>
    <row r="11" spans="1:34" ht="15.6" x14ac:dyDescent="0.3">
      <c r="A11" s="90" t="str">
        <f>FORMULATION!C12</f>
        <v>LIMESTONE 38%</v>
      </c>
      <c r="B11" s="134">
        <f>FORMULATION!D12</f>
        <v>0.5</v>
      </c>
      <c r="C11" s="129">
        <f t="shared" si="0"/>
        <v>5</v>
      </c>
      <c r="D11" s="135">
        <f>VLOOKUP(FORMULATION!$B12,'FEED LIST'!$A$2:$V$1000,4)</f>
        <v>99.6</v>
      </c>
      <c r="E11" s="136">
        <f>VLOOKUP(FORMULATION!$B12,'FEED LIST'!$A$2:$V$1000,5)</f>
        <v>0</v>
      </c>
      <c r="F11" s="136">
        <f>VLOOKUP(FORMULATION!$B12,'FEED LIST'!$A$2:$V$1000,6)</f>
        <v>0</v>
      </c>
      <c r="G11" s="136">
        <f>VLOOKUP(FORMULATION!$B12,'FEED LIST'!$A$2:$V$1000,7)</f>
        <v>0</v>
      </c>
      <c r="H11" s="135">
        <f>VLOOKUP(FORMULATION!$B12,'FEED LIST'!$A$2:$V$1000,8)</f>
        <v>0.09</v>
      </c>
      <c r="I11" s="135">
        <f>VLOOKUP(FORMULATION!$B12,'FEED LIST'!$A$2:$V$1000,9)</f>
        <v>39.4</v>
      </c>
      <c r="J11" s="135">
        <f>VLOOKUP(FORMULATION!$B12,'FEED LIST'!$A$2:$V$1000,10)</f>
        <v>0.09</v>
      </c>
      <c r="K11" s="129">
        <f>VLOOKUP(FORMULATION!$B12,'FEED LIST'!$A$2:$V$1000,11)</f>
        <v>5</v>
      </c>
      <c r="L11" s="129"/>
      <c r="M11" s="137">
        <f>VLOOKUP(FORMULATION!$B12,'FEED LIST'!$A$2:$V$1000,12)</f>
        <v>0.17</v>
      </c>
      <c r="N11" s="137">
        <f>VLOOKUP(FORMULATION!$B12,'FEED LIST'!$A$2:$V$1000,13)</f>
        <v>0.01</v>
      </c>
      <c r="O11" s="137">
        <f>VLOOKUP(FORMULATION!$B12,'FEED LIST'!$A$2:$V$1000,14)</f>
        <v>0</v>
      </c>
      <c r="P11" s="137">
        <f>VLOOKUP(FORMULATION!$B12,'FEED LIST'!$A$2:$V$1000,15)</f>
        <v>33</v>
      </c>
      <c r="Q11" s="138">
        <f>VLOOKUP(FORMULATION!$B12,'FEED LIST'!$A$2:$V$1000,16)</f>
        <v>542</v>
      </c>
      <c r="R11" s="139">
        <f>VLOOKUP(FORMULATION!$B12,'FEED LIST'!$A$2:$V$1000,17)</f>
        <v>281</v>
      </c>
      <c r="S11" s="137">
        <f>VLOOKUP(FORMULATION!$B12,'FEED LIST'!$A$2:$V$1000,18)</f>
        <v>0</v>
      </c>
      <c r="T11" s="139">
        <f>VLOOKUP(FORMULATION!$B12,'FEED LIST'!$A$2:$V$1000,19)</f>
        <v>39</v>
      </c>
      <c r="U11" s="140">
        <f>VLOOKUP(FORMULATION!$B12,'FEED LIST'!$A$2:$V$1000,20)</f>
        <v>0</v>
      </c>
      <c r="V11" s="140">
        <f>VLOOKUP(FORMULATION!$B12,'FEED LIST'!$A$2:$V$1000,21)</f>
        <v>0</v>
      </c>
      <c r="W11" s="140">
        <f>VLOOKUP(FORMULATION!$B12,'FEED LIST'!$A$2:$V$1000,22)</f>
        <v>0</v>
      </c>
      <c r="X11" s="132">
        <f>VLOOKUP(FORMULATION!$B12,'FEED LIST'!$A$2:$Y$1000,23)</f>
        <v>0</v>
      </c>
      <c r="Y11" s="132">
        <f>VLOOKUP(FORMULATION!$B12,'FEED LIST'!$A$2:$Y$1000,24)</f>
        <v>0</v>
      </c>
      <c r="Z11" s="133">
        <f>VLOOKUP(FORMULATION!$B12,'FEED LIST'!$A$2:$Y$1000,25)</f>
        <v>0</v>
      </c>
      <c r="AA11" s="23">
        <f>(FORMULATION!D12/FORMULATION!D$28*100)</f>
        <v>0.5</v>
      </c>
      <c r="AB11" s="17">
        <f t="shared" si="1"/>
        <v>0.50200803212851408</v>
      </c>
      <c r="AC11" s="17" t="b">
        <f t="shared" si="2"/>
        <v>0</v>
      </c>
      <c r="AD11" s="7">
        <f t="shared" si="3"/>
        <v>0.50200803212851408</v>
      </c>
      <c r="AE11" s="7">
        <f t="shared" si="4"/>
        <v>0.46008922213619369</v>
      </c>
    </row>
    <row r="12" spans="1:34" ht="15.6" x14ac:dyDescent="0.3">
      <c r="A12" s="90">
        <f>FORMULATION!C13</f>
        <v>0</v>
      </c>
      <c r="B12" s="134">
        <f>FORMULATION!D13</f>
        <v>0</v>
      </c>
      <c r="C12" s="129">
        <f t="shared" si="0"/>
        <v>0</v>
      </c>
      <c r="D12" s="135">
        <f>VLOOKUP(FORMULATION!$B13,'FEED LIST'!$A$2:$V$1000,4)</f>
        <v>0</v>
      </c>
      <c r="E12" s="136">
        <f>VLOOKUP(FORMULATION!$B13,'FEED LIST'!$A$2:$V$1000,5)</f>
        <v>0</v>
      </c>
      <c r="F12" s="136">
        <f>VLOOKUP(FORMULATION!$B13,'FEED LIST'!$A$2:$V$1000,6)</f>
        <v>0</v>
      </c>
      <c r="G12" s="136">
        <f>VLOOKUP(FORMULATION!$B13,'FEED LIST'!$A$2:$V$1000,7)</f>
        <v>0</v>
      </c>
      <c r="H12" s="135">
        <f>VLOOKUP(FORMULATION!$B13,'FEED LIST'!$A$2:$V$1000,8)</f>
        <v>0</v>
      </c>
      <c r="I12" s="135">
        <f>VLOOKUP(FORMULATION!$B13,'FEED LIST'!$A$2:$V$1000,9)</f>
        <v>0</v>
      </c>
      <c r="J12" s="135">
        <f>VLOOKUP(FORMULATION!$B13,'FEED LIST'!$A$2:$V$1000,10)</f>
        <v>0</v>
      </c>
      <c r="K12" s="129">
        <f>VLOOKUP(FORMULATION!$B13,'FEED LIST'!$A$2:$V$1000,11)</f>
        <v>0</v>
      </c>
      <c r="L12" s="129"/>
      <c r="M12" s="137">
        <f>VLOOKUP(FORMULATION!$B13,'FEED LIST'!$A$2:$V$1000,12)</f>
        <v>0</v>
      </c>
      <c r="N12" s="137">
        <f>VLOOKUP(FORMULATION!$B13,'FEED LIST'!$A$2:$V$1000,13)</f>
        <v>0</v>
      </c>
      <c r="O12" s="137">
        <f>VLOOKUP(FORMULATION!$B13,'FEED LIST'!$A$2:$V$1000,14)</f>
        <v>0</v>
      </c>
      <c r="P12" s="137">
        <f>VLOOKUP(FORMULATION!$B13,'FEED LIST'!$A$2:$V$1000,15)</f>
        <v>0</v>
      </c>
      <c r="Q12" s="138">
        <f>VLOOKUP(FORMULATION!$B13,'FEED LIST'!$A$2:$V$1000,16)</f>
        <v>0</v>
      </c>
      <c r="R12" s="139">
        <f>VLOOKUP(FORMULATION!$B13,'FEED LIST'!$A$2:$V$1000,17)</f>
        <v>0</v>
      </c>
      <c r="S12" s="137">
        <f>VLOOKUP(FORMULATION!$B13,'FEED LIST'!$A$2:$V$1000,18)</f>
        <v>0</v>
      </c>
      <c r="T12" s="139">
        <f>VLOOKUP(FORMULATION!$B13,'FEED LIST'!$A$2:$V$1000,19)</f>
        <v>0</v>
      </c>
      <c r="U12" s="140">
        <f>VLOOKUP(FORMULATION!$B13,'FEED LIST'!$A$2:$V$1000,20)</f>
        <v>0</v>
      </c>
      <c r="V12" s="140">
        <f>VLOOKUP(FORMULATION!$B13,'FEED LIST'!$A$2:$V$1000,21)</f>
        <v>0</v>
      </c>
      <c r="W12" s="140">
        <f>VLOOKUP(FORMULATION!$B13,'FEED LIST'!$A$2:$V$1000,22)</f>
        <v>0</v>
      </c>
      <c r="X12" s="132">
        <f>VLOOKUP(FORMULATION!$B13,'FEED LIST'!$A$2:$Y$1000,23)</f>
        <v>0</v>
      </c>
      <c r="Y12" s="132">
        <f>VLOOKUP(FORMULATION!$B13,'FEED LIST'!$A$2:$Y$1000,24)</f>
        <v>0</v>
      </c>
      <c r="Z12" s="133">
        <f>VLOOKUP(FORMULATION!$B13,'FEED LIST'!$A$2:$Y$1000,25)</f>
        <v>0</v>
      </c>
      <c r="AA12" s="23">
        <f>(FORMULATION!D13/FORMULATION!D$28*100)</f>
        <v>0</v>
      </c>
      <c r="AB12" s="17" t="e">
        <f t="shared" si="1"/>
        <v>#DIV/0!</v>
      </c>
      <c r="AC12" s="17" t="b">
        <f t="shared" si="2"/>
        <v>1</v>
      </c>
      <c r="AD12" s="7">
        <f t="shared" si="3"/>
        <v>0</v>
      </c>
      <c r="AE12" s="7">
        <f t="shared" si="4"/>
        <v>0</v>
      </c>
    </row>
    <row r="13" spans="1:34" ht="15.6" x14ac:dyDescent="0.3">
      <c r="A13" s="90">
        <f>FORMULATION!C14</f>
        <v>0</v>
      </c>
      <c r="B13" s="134">
        <f>FORMULATION!D14</f>
        <v>0</v>
      </c>
      <c r="C13" s="129">
        <f t="shared" si="0"/>
        <v>0</v>
      </c>
      <c r="D13" s="135">
        <f>VLOOKUP(FORMULATION!$B14,'FEED LIST'!$A$2:$V$1000,4)</f>
        <v>0</v>
      </c>
      <c r="E13" s="136">
        <f>VLOOKUP(FORMULATION!$B14,'FEED LIST'!$A$2:$V$1000,5)</f>
        <v>0</v>
      </c>
      <c r="F13" s="136">
        <f>VLOOKUP(FORMULATION!$B14,'FEED LIST'!$A$2:$V$1000,6)</f>
        <v>0</v>
      </c>
      <c r="G13" s="136">
        <f>VLOOKUP(FORMULATION!$B14,'FEED LIST'!$A$2:$V$1000,7)</f>
        <v>0</v>
      </c>
      <c r="H13" s="135">
        <f>VLOOKUP(FORMULATION!$B14,'FEED LIST'!$A$2:$V$1000,8)</f>
        <v>0</v>
      </c>
      <c r="I13" s="135">
        <f>VLOOKUP(FORMULATION!$B14,'FEED LIST'!$A$2:$V$1000,9)</f>
        <v>0</v>
      </c>
      <c r="J13" s="135">
        <f>VLOOKUP(FORMULATION!$B14,'FEED LIST'!$A$2:$V$1000,10)</f>
        <v>0</v>
      </c>
      <c r="K13" s="129">
        <f>VLOOKUP(FORMULATION!$B14,'FEED LIST'!$A$2:$V$1000,11)</f>
        <v>0</v>
      </c>
      <c r="L13" s="129"/>
      <c r="M13" s="137">
        <f>VLOOKUP(FORMULATION!$B14,'FEED LIST'!$A$2:$V$1000,12)</f>
        <v>0</v>
      </c>
      <c r="N13" s="137">
        <f>VLOOKUP(FORMULATION!$B14,'FEED LIST'!$A$2:$V$1000,13)</f>
        <v>0</v>
      </c>
      <c r="O13" s="137">
        <f>VLOOKUP(FORMULATION!$B14,'FEED LIST'!$A$2:$V$1000,14)</f>
        <v>0</v>
      </c>
      <c r="P13" s="137">
        <f>VLOOKUP(FORMULATION!$B14,'FEED LIST'!$A$2:$V$1000,15)</f>
        <v>0</v>
      </c>
      <c r="Q13" s="138">
        <f>VLOOKUP(FORMULATION!$B14,'FEED LIST'!$A$2:$V$1000,16)</f>
        <v>0</v>
      </c>
      <c r="R13" s="139">
        <f>VLOOKUP(FORMULATION!$B14,'FEED LIST'!$A$2:$V$1000,17)</f>
        <v>0</v>
      </c>
      <c r="S13" s="137">
        <f>VLOOKUP(FORMULATION!$B14,'FEED LIST'!$A$2:$V$1000,18)</f>
        <v>0</v>
      </c>
      <c r="T13" s="139">
        <f>VLOOKUP(FORMULATION!$B14,'FEED LIST'!$A$2:$V$1000,19)</f>
        <v>0</v>
      </c>
      <c r="U13" s="140">
        <f>VLOOKUP(FORMULATION!$B14,'FEED LIST'!$A$2:$V$1000,20)</f>
        <v>0</v>
      </c>
      <c r="V13" s="140">
        <f>VLOOKUP(FORMULATION!$B14,'FEED LIST'!$A$2:$V$1000,21)</f>
        <v>0</v>
      </c>
      <c r="W13" s="140">
        <f>VLOOKUP(FORMULATION!$B14,'FEED LIST'!$A$2:$V$1000,22)</f>
        <v>0</v>
      </c>
      <c r="X13" s="132">
        <f>VLOOKUP(FORMULATION!$B14,'FEED LIST'!$A$2:$Y$1000,23)</f>
        <v>0</v>
      </c>
      <c r="Y13" s="132">
        <f>VLOOKUP(FORMULATION!$B14,'FEED LIST'!$A$2:$Y$1000,24)</f>
        <v>0</v>
      </c>
      <c r="Z13" s="133">
        <f>VLOOKUP(FORMULATION!$B14,'FEED LIST'!$A$2:$Y$1000,25)</f>
        <v>0</v>
      </c>
      <c r="AA13" s="23">
        <f>(FORMULATION!D14/FORMULATION!D$28*100)</f>
        <v>0</v>
      </c>
      <c r="AB13" s="17" t="e">
        <f t="shared" si="1"/>
        <v>#DIV/0!</v>
      </c>
      <c r="AC13" s="17" t="b">
        <f t="shared" si="2"/>
        <v>1</v>
      </c>
      <c r="AD13" s="7">
        <f t="shared" si="3"/>
        <v>0</v>
      </c>
      <c r="AE13" s="7">
        <f t="shared" si="4"/>
        <v>0</v>
      </c>
    </row>
    <row r="14" spans="1:34" ht="15.6" x14ac:dyDescent="0.3">
      <c r="A14" s="90">
        <f>FORMULATION!C15</f>
        <v>0</v>
      </c>
      <c r="B14" s="134">
        <f>FORMULATION!D15</f>
        <v>0</v>
      </c>
      <c r="C14" s="129">
        <f t="shared" si="0"/>
        <v>0</v>
      </c>
      <c r="D14" s="135">
        <f>VLOOKUP(FORMULATION!$B15,'FEED LIST'!$A$2:$V$1000,4)</f>
        <v>0</v>
      </c>
      <c r="E14" s="136">
        <f>VLOOKUP(FORMULATION!$B15,'FEED LIST'!$A$2:$V$1000,5)</f>
        <v>0</v>
      </c>
      <c r="F14" s="136">
        <f>VLOOKUP(FORMULATION!$B15,'FEED LIST'!$A$2:$V$1000,6)</f>
        <v>0</v>
      </c>
      <c r="G14" s="136">
        <f>VLOOKUP(FORMULATION!$B15,'FEED LIST'!$A$2:$V$1000,7)</f>
        <v>0</v>
      </c>
      <c r="H14" s="135">
        <f>VLOOKUP(FORMULATION!$B15,'FEED LIST'!$A$2:$V$1000,8)</f>
        <v>0</v>
      </c>
      <c r="I14" s="135">
        <f>VLOOKUP(FORMULATION!$B15,'FEED LIST'!$A$2:$V$1000,9)</f>
        <v>0</v>
      </c>
      <c r="J14" s="135">
        <f>VLOOKUP(FORMULATION!$B15,'FEED LIST'!$A$2:$V$1000,10)</f>
        <v>0</v>
      </c>
      <c r="K14" s="129">
        <f>VLOOKUP(FORMULATION!$B15,'FEED LIST'!$A$2:$V$1000,11)</f>
        <v>0</v>
      </c>
      <c r="L14" s="129"/>
      <c r="M14" s="137">
        <f>VLOOKUP(FORMULATION!$B15,'FEED LIST'!$A$2:$V$1000,12)</f>
        <v>0</v>
      </c>
      <c r="N14" s="137">
        <f>VLOOKUP(FORMULATION!$B15,'FEED LIST'!$A$2:$V$1000,13)</f>
        <v>0</v>
      </c>
      <c r="O14" s="137">
        <f>VLOOKUP(FORMULATION!$B15,'FEED LIST'!$A$2:$V$1000,14)</f>
        <v>0</v>
      </c>
      <c r="P14" s="137">
        <f>VLOOKUP(FORMULATION!$B15,'FEED LIST'!$A$2:$V$1000,15)</f>
        <v>0</v>
      </c>
      <c r="Q14" s="138">
        <f>VLOOKUP(FORMULATION!$B15,'FEED LIST'!$A$2:$V$1000,16)</f>
        <v>0</v>
      </c>
      <c r="R14" s="139">
        <f>VLOOKUP(FORMULATION!$B15,'FEED LIST'!$A$2:$V$1000,17)</f>
        <v>0</v>
      </c>
      <c r="S14" s="137">
        <f>VLOOKUP(FORMULATION!$B15,'FEED LIST'!$A$2:$V$1000,18)</f>
        <v>0</v>
      </c>
      <c r="T14" s="139">
        <f>VLOOKUP(FORMULATION!$B15,'FEED LIST'!$A$2:$V$1000,19)</f>
        <v>0</v>
      </c>
      <c r="U14" s="140">
        <f>VLOOKUP(FORMULATION!$B15,'FEED LIST'!$A$2:$V$1000,20)</f>
        <v>0</v>
      </c>
      <c r="V14" s="140">
        <f>VLOOKUP(FORMULATION!$B15,'FEED LIST'!$A$2:$V$1000,21)</f>
        <v>0</v>
      </c>
      <c r="W14" s="140">
        <f>VLOOKUP(FORMULATION!$B15,'FEED LIST'!$A$2:$V$1000,22)</f>
        <v>0</v>
      </c>
      <c r="X14" s="132">
        <f>VLOOKUP(FORMULATION!$B15,'FEED LIST'!$A$2:$Y$1000,23)</f>
        <v>0</v>
      </c>
      <c r="Y14" s="132">
        <f>VLOOKUP(FORMULATION!$B15,'FEED LIST'!$A$2:$Y$1000,24)</f>
        <v>0</v>
      </c>
      <c r="Z14" s="133">
        <f>VLOOKUP(FORMULATION!$B15,'FEED LIST'!$A$2:$Y$1000,25)</f>
        <v>0</v>
      </c>
      <c r="AA14" s="23">
        <f>(FORMULATION!D15/FORMULATION!D$28*100)</f>
        <v>0</v>
      </c>
      <c r="AB14" s="17" t="e">
        <f t="shared" si="1"/>
        <v>#DIV/0!</v>
      </c>
      <c r="AC14" s="17" t="b">
        <f t="shared" si="2"/>
        <v>1</v>
      </c>
      <c r="AD14" s="7">
        <f t="shared" si="3"/>
        <v>0</v>
      </c>
      <c r="AE14" s="7">
        <f t="shared" si="4"/>
        <v>0</v>
      </c>
    </row>
    <row r="15" spans="1:34" ht="15.6" x14ac:dyDescent="0.3">
      <c r="A15" s="90">
        <f>FORMULATION!C16</f>
        <v>0</v>
      </c>
      <c r="B15" s="134">
        <f>FORMULATION!D16</f>
        <v>0</v>
      </c>
      <c r="C15" s="129">
        <f t="shared" si="0"/>
        <v>0</v>
      </c>
      <c r="D15" s="135">
        <f>VLOOKUP(FORMULATION!$B16,'FEED LIST'!$A$2:$V$1000,4)</f>
        <v>0</v>
      </c>
      <c r="E15" s="136">
        <f>VLOOKUP(FORMULATION!$B16,'FEED LIST'!$A$2:$V$1000,5)</f>
        <v>0</v>
      </c>
      <c r="F15" s="136">
        <f>VLOOKUP(FORMULATION!$B16,'FEED LIST'!$A$2:$V$1000,6)</f>
        <v>0</v>
      </c>
      <c r="G15" s="136">
        <f>VLOOKUP(FORMULATION!$B16,'FEED LIST'!$A$2:$V$1000,7)</f>
        <v>0</v>
      </c>
      <c r="H15" s="135">
        <f>VLOOKUP(FORMULATION!$B16,'FEED LIST'!$A$2:$V$1000,8)</f>
        <v>0</v>
      </c>
      <c r="I15" s="135">
        <f>VLOOKUP(FORMULATION!$B16,'FEED LIST'!$A$2:$V$1000,9)</f>
        <v>0</v>
      </c>
      <c r="J15" s="135">
        <f>VLOOKUP(FORMULATION!$B16,'FEED LIST'!$A$2:$V$1000,10)</f>
        <v>0</v>
      </c>
      <c r="K15" s="129">
        <f>VLOOKUP(FORMULATION!$B16,'FEED LIST'!$A$2:$V$1000,11)</f>
        <v>0</v>
      </c>
      <c r="L15" s="129"/>
      <c r="M15" s="137">
        <f>VLOOKUP(FORMULATION!$B16,'FEED LIST'!$A$2:$V$1000,12)</f>
        <v>0</v>
      </c>
      <c r="N15" s="137">
        <f>VLOOKUP(FORMULATION!$B16,'FEED LIST'!$A$2:$V$1000,13)</f>
        <v>0</v>
      </c>
      <c r="O15" s="137">
        <f>VLOOKUP(FORMULATION!$B16,'FEED LIST'!$A$2:$V$1000,14)</f>
        <v>0</v>
      </c>
      <c r="P15" s="137">
        <f>VLOOKUP(FORMULATION!$B16,'FEED LIST'!$A$2:$V$1000,15)</f>
        <v>0</v>
      </c>
      <c r="Q15" s="138">
        <f>VLOOKUP(FORMULATION!$B16,'FEED LIST'!$A$2:$V$1000,16)</f>
        <v>0</v>
      </c>
      <c r="R15" s="139">
        <f>VLOOKUP(FORMULATION!$B16,'FEED LIST'!$A$2:$V$1000,17)</f>
        <v>0</v>
      </c>
      <c r="S15" s="137">
        <f>VLOOKUP(FORMULATION!$B16,'FEED LIST'!$A$2:$V$1000,18)</f>
        <v>0</v>
      </c>
      <c r="T15" s="139">
        <f>VLOOKUP(FORMULATION!$B16,'FEED LIST'!$A$2:$V$1000,19)</f>
        <v>0</v>
      </c>
      <c r="U15" s="140">
        <f>VLOOKUP(FORMULATION!$B16,'FEED LIST'!$A$2:$V$1000,20)</f>
        <v>0</v>
      </c>
      <c r="V15" s="140">
        <f>VLOOKUP(FORMULATION!$B16,'FEED LIST'!$A$2:$V$1000,21)</f>
        <v>0</v>
      </c>
      <c r="W15" s="140">
        <f>VLOOKUP(FORMULATION!$B16,'FEED LIST'!$A$2:$V$1000,22)</f>
        <v>0</v>
      </c>
      <c r="X15" s="132">
        <f>VLOOKUP(FORMULATION!$B16,'FEED LIST'!$A$2:$Y$1000,23)</f>
        <v>0</v>
      </c>
      <c r="Y15" s="132">
        <f>VLOOKUP(FORMULATION!$B16,'FEED LIST'!$A$2:$Y$1000,24)</f>
        <v>0</v>
      </c>
      <c r="Z15" s="133">
        <f>VLOOKUP(FORMULATION!$B16,'FEED LIST'!$A$2:$Y$1000,25)</f>
        <v>0</v>
      </c>
      <c r="AA15" s="23">
        <f>(FORMULATION!D16/FORMULATION!D$28*100)</f>
        <v>0</v>
      </c>
      <c r="AB15" s="17" t="e">
        <f t="shared" si="1"/>
        <v>#DIV/0!</v>
      </c>
      <c r="AC15" s="17" t="b">
        <f t="shared" si="2"/>
        <v>1</v>
      </c>
      <c r="AD15" s="7">
        <f t="shared" si="3"/>
        <v>0</v>
      </c>
      <c r="AE15" s="7">
        <f t="shared" si="4"/>
        <v>0</v>
      </c>
    </row>
    <row r="16" spans="1:34" ht="15.6" x14ac:dyDescent="0.3">
      <c r="A16" s="90">
        <f>FORMULATION!C17</f>
        <v>0</v>
      </c>
      <c r="B16" s="134">
        <f>FORMULATION!D17</f>
        <v>0</v>
      </c>
      <c r="C16" s="129">
        <f t="shared" si="0"/>
        <v>0</v>
      </c>
      <c r="D16" s="135">
        <f>VLOOKUP(FORMULATION!$B17,'FEED LIST'!$A$2:$V$1000,4)</f>
        <v>0</v>
      </c>
      <c r="E16" s="136">
        <f>VLOOKUP(FORMULATION!$B17,'FEED LIST'!$A$2:$V$1000,5)</f>
        <v>0</v>
      </c>
      <c r="F16" s="136">
        <f>VLOOKUP(FORMULATION!$B17,'FEED LIST'!$A$2:$V$1000,6)</f>
        <v>0</v>
      </c>
      <c r="G16" s="136">
        <f>VLOOKUP(FORMULATION!$B17,'FEED LIST'!$A$2:$V$1000,7)</f>
        <v>0</v>
      </c>
      <c r="H16" s="135">
        <f>VLOOKUP(FORMULATION!$B17,'FEED LIST'!$A$2:$V$1000,8)</f>
        <v>0</v>
      </c>
      <c r="I16" s="135">
        <f>VLOOKUP(FORMULATION!$B17,'FEED LIST'!$A$2:$V$1000,9)</f>
        <v>0</v>
      </c>
      <c r="J16" s="135">
        <f>VLOOKUP(FORMULATION!$B17,'FEED LIST'!$A$2:$V$1000,10)</f>
        <v>0</v>
      </c>
      <c r="K16" s="129">
        <f>VLOOKUP(FORMULATION!$B17,'FEED LIST'!$A$2:$V$1000,11)</f>
        <v>0</v>
      </c>
      <c r="L16" s="129"/>
      <c r="M16" s="137">
        <f>VLOOKUP(FORMULATION!$B17,'FEED LIST'!$A$2:$V$1000,12)</f>
        <v>0</v>
      </c>
      <c r="N16" s="137">
        <f>VLOOKUP(FORMULATION!$B17,'FEED LIST'!$A$2:$V$1000,13)</f>
        <v>0</v>
      </c>
      <c r="O16" s="137">
        <f>VLOOKUP(FORMULATION!$B17,'FEED LIST'!$A$2:$V$1000,14)</f>
        <v>0</v>
      </c>
      <c r="P16" s="137">
        <f>VLOOKUP(FORMULATION!$B17,'FEED LIST'!$A$2:$V$1000,15)</f>
        <v>0</v>
      </c>
      <c r="Q16" s="138">
        <f>VLOOKUP(FORMULATION!$B17,'FEED LIST'!$A$2:$V$1000,16)</f>
        <v>0</v>
      </c>
      <c r="R16" s="139">
        <f>VLOOKUP(FORMULATION!$B17,'FEED LIST'!$A$2:$V$1000,17)</f>
        <v>0</v>
      </c>
      <c r="S16" s="137">
        <f>VLOOKUP(FORMULATION!$B17,'FEED LIST'!$A$2:$V$1000,18)</f>
        <v>0</v>
      </c>
      <c r="T16" s="139">
        <f>VLOOKUP(FORMULATION!$B17,'FEED LIST'!$A$2:$V$1000,19)</f>
        <v>0</v>
      </c>
      <c r="U16" s="140">
        <f>VLOOKUP(FORMULATION!$B17,'FEED LIST'!$A$2:$V$1000,20)</f>
        <v>0</v>
      </c>
      <c r="V16" s="140">
        <f>VLOOKUP(FORMULATION!$B17,'FEED LIST'!$A$2:$V$1000,21)</f>
        <v>0</v>
      </c>
      <c r="W16" s="140">
        <f>VLOOKUP(FORMULATION!$B17,'FEED LIST'!$A$2:$V$1000,22)</f>
        <v>0</v>
      </c>
      <c r="X16" s="132">
        <f>VLOOKUP(FORMULATION!$B17,'FEED LIST'!$A$2:$Y$1000,23)</f>
        <v>0</v>
      </c>
      <c r="Y16" s="132">
        <f>VLOOKUP(FORMULATION!$B17,'FEED LIST'!$A$2:$Y$1000,24)</f>
        <v>0</v>
      </c>
      <c r="Z16" s="133">
        <f>VLOOKUP(FORMULATION!$B17,'FEED LIST'!$A$2:$Y$1000,25)</f>
        <v>0</v>
      </c>
      <c r="AA16" s="23">
        <f>(FORMULATION!D17/FORMULATION!D$28*100)</f>
        <v>0</v>
      </c>
      <c r="AB16" s="17" t="e">
        <f t="shared" si="1"/>
        <v>#DIV/0!</v>
      </c>
      <c r="AC16" s="17" t="b">
        <f t="shared" si="2"/>
        <v>1</v>
      </c>
      <c r="AD16" s="7">
        <f t="shared" si="3"/>
        <v>0</v>
      </c>
      <c r="AE16" s="7">
        <f t="shared" si="4"/>
        <v>0</v>
      </c>
    </row>
    <row r="17" spans="1:48" ht="15.6" x14ac:dyDescent="0.3">
      <c r="A17" s="90">
        <f>FORMULATION!C18</f>
        <v>0</v>
      </c>
      <c r="B17" s="134"/>
      <c r="C17" s="129">
        <f t="shared" si="0"/>
        <v>0</v>
      </c>
      <c r="D17" s="135">
        <f>VLOOKUP(FORMULATION!$B18,'FEED LIST'!$A$2:$V$1000,4)</f>
        <v>0</v>
      </c>
      <c r="E17" s="136">
        <f>VLOOKUP(FORMULATION!$B18,'FEED LIST'!$A$2:$V$1000,5)</f>
        <v>0</v>
      </c>
      <c r="F17" s="136">
        <f>VLOOKUP(FORMULATION!$B18,'FEED LIST'!$A$2:$V$1000,6)</f>
        <v>0</v>
      </c>
      <c r="G17" s="136">
        <f>VLOOKUP(FORMULATION!$B18,'FEED LIST'!$A$2:$V$1000,7)</f>
        <v>0</v>
      </c>
      <c r="H17" s="135">
        <f>VLOOKUP(FORMULATION!$B18,'FEED LIST'!$A$2:$V$1000,8)</f>
        <v>0</v>
      </c>
      <c r="I17" s="135">
        <f>VLOOKUP(FORMULATION!$B18,'FEED LIST'!$A$2:$V$1000,9)</f>
        <v>0</v>
      </c>
      <c r="J17" s="135">
        <f>VLOOKUP(FORMULATION!$B18,'FEED LIST'!$A$2:$V$1000,10)</f>
        <v>0</v>
      </c>
      <c r="K17" s="129">
        <f>VLOOKUP(FORMULATION!$B18,'FEED LIST'!$A$2:$V$1000,11)</f>
        <v>0</v>
      </c>
      <c r="L17" s="129"/>
      <c r="M17" s="137">
        <f>VLOOKUP(FORMULATION!$B18,'FEED LIST'!$A$2:$V$1000,12)</f>
        <v>0</v>
      </c>
      <c r="N17" s="137">
        <f>VLOOKUP(FORMULATION!$B18,'FEED LIST'!$A$2:$V$1000,13)</f>
        <v>0</v>
      </c>
      <c r="O17" s="137">
        <f>VLOOKUP(FORMULATION!$B18,'FEED LIST'!$A$2:$V$1000,14)</f>
        <v>0</v>
      </c>
      <c r="P17" s="137">
        <f>VLOOKUP(FORMULATION!$B18,'FEED LIST'!$A$2:$V$1000,15)</f>
        <v>0</v>
      </c>
      <c r="Q17" s="138">
        <f>VLOOKUP(FORMULATION!$B18,'FEED LIST'!$A$2:$V$1000,16)</f>
        <v>0</v>
      </c>
      <c r="R17" s="139">
        <f>VLOOKUP(FORMULATION!$B18,'FEED LIST'!$A$2:$V$1000,17)</f>
        <v>0</v>
      </c>
      <c r="S17" s="137">
        <f>VLOOKUP(FORMULATION!$B18,'FEED LIST'!$A$2:$V$1000,18)</f>
        <v>0</v>
      </c>
      <c r="T17" s="139">
        <f>VLOOKUP(FORMULATION!$B18,'FEED LIST'!$A$2:$V$1000,19)</f>
        <v>0</v>
      </c>
      <c r="U17" s="140">
        <f>VLOOKUP(FORMULATION!$B18,'FEED LIST'!$A$2:$V$1000,20)</f>
        <v>0</v>
      </c>
      <c r="V17" s="140">
        <f>VLOOKUP(FORMULATION!$B18,'FEED LIST'!$A$2:$V$1000,21)</f>
        <v>0</v>
      </c>
      <c r="W17" s="140">
        <f>VLOOKUP(FORMULATION!$B18,'FEED LIST'!$A$2:$V$1000,22)</f>
        <v>0</v>
      </c>
      <c r="X17" s="132">
        <f>VLOOKUP(FORMULATION!$B18,'FEED LIST'!$A$2:$Y$1000,23)</f>
        <v>0</v>
      </c>
      <c r="Y17" s="132">
        <f>VLOOKUP(FORMULATION!$B18,'FEED LIST'!$A$2:$Y$1000,24)</f>
        <v>0</v>
      </c>
      <c r="Z17" s="133">
        <f>VLOOKUP(FORMULATION!$B18,'FEED LIST'!$A$2:$Y$1000,25)</f>
        <v>0</v>
      </c>
      <c r="AA17" s="23">
        <f>(FORMULATION!D18/FORMULATION!D$28*100)</f>
        <v>0</v>
      </c>
      <c r="AB17" s="17" t="e">
        <f t="shared" si="1"/>
        <v>#DIV/0!</v>
      </c>
      <c r="AC17" s="17" t="b">
        <f t="shared" si="2"/>
        <v>1</v>
      </c>
      <c r="AD17" s="7">
        <f t="shared" si="3"/>
        <v>0</v>
      </c>
      <c r="AE17" s="7">
        <f t="shared" si="4"/>
        <v>0</v>
      </c>
    </row>
    <row r="18" spans="1:48" ht="15.6" x14ac:dyDescent="0.3">
      <c r="A18" s="90">
        <f>FORMULATION!C19</f>
        <v>0</v>
      </c>
      <c r="B18" s="134">
        <f>FORMULATION!D19</f>
        <v>0</v>
      </c>
      <c r="C18" s="129">
        <f t="shared" si="0"/>
        <v>0</v>
      </c>
      <c r="D18" s="135">
        <f>VLOOKUP(FORMULATION!$B19,'FEED LIST'!$A$2:$V$1000,4)</f>
        <v>0</v>
      </c>
      <c r="E18" s="136">
        <f>VLOOKUP(FORMULATION!$B19,'FEED LIST'!$A$2:$V$1000,5)</f>
        <v>0</v>
      </c>
      <c r="F18" s="136">
        <f>VLOOKUP(FORMULATION!$B19,'FEED LIST'!$A$2:$V$1000,6)</f>
        <v>0</v>
      </c>
      <c r="G18" s="136">
        <f>VLOOKUP(FORMULATION!$B19,'FEED LIST'!$A$2:$V$1000,7)</f>
        <v>0</v>
      </c>
      <c r="H18" s="135">
        <f>VLOOKUP(FORMULATION!$B19,'FEED LIST'!$A$2:$V$1000,8)</f>
        <v>0</v>
      </c>
      <c r="I18" s="135">
        <f>VLOOKUP(FORMULATION!$B19,'FEED LIST'!$A$2:$V$1000,9)</f>
        <v>0</v>
      </c>
      <c r="J18" s="135">
        <f>VLOOKUP(FORMULATION!$B19,'FEED LIST'!$A$2:$V$1000,10)</f>
        <v>0</v>
      </c>
      <c r="K18" s="129">
        <f>VLOOKUP(FORMULATION!$B19,'FEED LIST'!$A$2:$V$1000,11)</f>
        <v>0</v>
      </c>
      <c r="L18" s="129"/>
      <c r="M18" s="137">
        <f>VLOOKUP(FORMULATION!$B19,'FEED LIST'!$A$2:$V$1000,12)</f>
        <v>0</v>
      </c>
      <c r="N18" s="137">
        <f>VLOOKUP(FORMULATION!$B19,'FEED LIST'!$A$2:$V$1000,13)</f>
        <v>0</v>
      </c>
      <c r="O18" s="137">
        <f>VLOOKUP(FORMULATION!$B19,'FEED LIST'!$A$2:$V$1000,14)</f>
        <v>0</v>
      </c>
      <c r="P18" s="137">
        <f>VLOOKUP(FORMULATION!$B19,'FEED LIST'!$A$2:$V$1000,15)</f>
        <v>0</v>
      </c>
      <c r="Q18" s="138">
        <f>VLOOKUP(FORMULATION!$B19,'FEED LIST'!$A$2:$V$1000,16)</f>
        <v>0</v>
      </c>
      <c r="R18" s="139">
        <f>VLOOKUP(FORMULATION!$B19,'FEED LIST'!$A$2:$V$1000,17)</f>
        <v>0</v>
      </c>
      <c r="S18" s="137">
        <f>VLOOKUP(FORMULATION!$B19,'FEED LIST'!$A$2:$V$1000,18)</f>
        <v>0</v>
      </c>
      <c r="T18" s="139">
        <f>VLOOKUP(FORMULATION!$B19,'FEED LIST'!$A$2:$V$1000,19)</f>
        <v>0</v>
      </c>
      <c r="U18" s="140">
        <f>VLOOKUP(FORMULATION!$B19,'FEED LIST'!$A$2:$V$1000,20)</f>
        <v>0</v>
      </c>
      <c r="V18" s="140">
        <f>VLOOKUP(FORMULATION!$B19,'FEED LIST'!$A$2:$V$1000,21)</f>
        <v>0</v>
      </c>
      <c r="W18" s="140">
        <f>VLOOKUP(FORMULATION!$B19,'FEED LIST'!$A$2:$V$1000,22)</f>
        <v>0</v>
      </c>
      <c r="X18" s="132">
        <f>VLOOKUP(FORMULATION!$B19,'FEED LIST'!$A$2:$Y$1000,23)</f>
        <v>0</v>
      </c>
      <c r="Y18" s="132">
        <f>VLOOKUP(FORMULATION!$B19,'FEED LIST'!$A$2:$Y$1000,24)</f>
        <v>0</v>
      </c>
      <c r="Z18" s="133">
        <f>VLOOKUP(FORMULATION!$B19,'FEED LIST'!$A$2:$Y$1000,25)</f>
        <v>0</v>
      </c>
      <c r="AA18" s="23">
        <f>(FORMULATION!D19/FORMULATION!D$28*100)</f>
        <v>0</v>
      </c>
      <c r="AB18" s="17" t="e">
        <f t="shared" si="1"/>
        <v>#DIV/0!</v>
      </c>
      <c r="AC18" s="17" t="b">
        <f t="shared" si="2"/>
        <v>1</v>
      </c>
      <c r="AD18" s="7">
        <f t="shared" si="3"/>
        <v>0</v>
      </c>
      <c r="AE18" s="7">
        <f t="shared" si="4"/>
        <v>0</v>
      </c>
    </row>
    <row r="19" spans="1:48" ht="15.6" x14ac:dyDescent="0.3">
      <c r="A19" s="90">
        <f>FORMULATION!C20</f>
        <v>0</v>
      </c>
      <c r="B19" s="134">
        <f>FORMULATION!D20</f>
        <v>0</v>
      </c>
      <c r="C19" s="129">
        <f t="shared" si="0"/>
        <v>0</v>
      </c>
      <c r="D19" s="135">
        <f>VLOOKUP(FORMULATION!$B20,'FEED LIST'!$A$2:$V$1000,4)</f>
        <v>0</v>
      </c>
      <c r="E19" s="136">
        <f>VLOOKUP(FORMULATION!$B20,'FEED LIST'!$A$2:$V$1000,5)</f>
        <v>0</v>
      </c>
      <c r="F19" s="136">
        <f>VLOOKUP(FORMULATION!$B20,'FEED LIST'!$A$2:$V$1000,6)</f>
        <v>0</v>
      </c>
      <c r="G19" s="136">
        <f>VLOOKUP(FORMULATION!$B20,'FEED LIST'!$A$2:$V$1000,7)</f>
        <v>0</v>
      </c>
      <c r="H19" s="135">
        <f>VLOOKUP(FORMULATION!$B20,'FEED LIST'!$A$2:$V$1000,8)</f>
        <v>0</v>
      </c>
      <c r="I19" s="135">
        <f>VLOOKUP(FORMULATION!$B20,'FEED LIST'!$A$2:$V$1000,9)</f>
        <v>0</v>
      </c>
      <c r="J19" s="135">
        <f>VLOOKUP(FORMULATION!$B20,'FEED LIST'!$A$2:$V$1000,10)</f>
        <v>0</v>
      </c>
      <c r="K19" s="129">
        <f>VLOOKUP(FORMULATION!$B20,'FEED LIST'!$A$2:$V$1000,11)</f>
        <v>0</v>
      </c>
      <c r="L19" s="129"/>
      <c r="M19" s="137">
        <f>VLOOKUP(FORMULATION!$B20,'FEED LIST'!$A$2:$V$1000,12)</f>
        <v>0</v>
      </c>
      <c r="N19" s="137">
        <f>VLOOKUP(FORMULATION!$B20,'FEED LIST'!$A$2:$V$1000,13)</f>
        <v>0</v>
      </c>
      <c r="O19" s="137">
        <f>VLOOKUP(FORMULATION!$B20,'FEED LIST'!$A$2:$V$1000,14)</f>
        <v>0</v>
      </c>
      <c r="P19" s="137">
        <f>VLOOKUP(FORMULATION!$B20,'FEED LIST'!$A$2:$V$1000,15)</f>
        <v>0</v>
      </c>
      <c r="Q19" s="138">
        <f>VLOOKUP(FORMULATION!$B20,'FEED LIST'!$A$2:$V$1000,16)</f>
        <v>0</v>
      </c>
      <c r="R19" s="139">
        <f>VLOOKUP(FORMULATION!$B20,'FEED LIST'!$A$2:$V$1000,17)</f>
        <v>0</v>
      </c>
      <c r="S19" s="137">
        <f>VLOOKUP(FORMULATION!$B20,'FEED LIST'!$A$2:$V$1000,18)</f>
        <v>0</v>
      </c>
      <c r="T19" s="139">
        <f>VLOOKUP(FORMULATION!$B20,'FEED LIST'!$A$2:$V$1000,19)</f>
        <v>0</v>
      </c>
      <c r="U19" s="140">
        <f>VLOOKUP(FORMULATION!$B20,'FEED LIST'!$A$2:$V$1000,20)</f>
        <v>0</v>
      </c>
      <c r="V19" s="140">
        <f>VLOOKUP(FORMULATION!$B20,'FEED LIST'!$A$2:$V$1000,21)</f>
        <v>0</v>
      </c>
      <c r="W19" s="140">
        <f>VLOOKUP(FORMULATION!$B20,'FEED LIST'!$A$2:$V$1000,22)</f>
        <v>0</v>
      </c>
      <c r="X19" s="132">
        <f>VLOOKUP(FORMULATION!$B20,'FEED LIST'!$A$2:$Y$1000,23)</f>
        <v>0</v>
      </c>
      <c r="Y19" s="132">
        <f>VLOOKUP(FORMULATION!$B20,'FEED LIST'!$A$2:$Y$1000,24)</f>
        <v>0</v>
      </c>
      <c r="Z19" s="133">
        <f>VLOOKUP(FORMULATION!$B20,'FEED LIST'!$A$2:$Y$1000,25)</f>
        <v>0</v>
      </c>
      <c r="AA19" s="23">
        <f>(FORMULATION!D20/FORMULATION!D$28*100)</f>
        <v>0</v>
      </c>
      <c r="AB19" s="17" t="e">
        <f t="shared" si="1"/>
        <v>#DIV/0!</v>
      </c>
      <c r="AC19" s="17" t="b">
        <f t="shared" si="2"/>
        <v>1</v>
      </c>
      <c r="AD19" s="7">
        <f t="shared" si="3"/>
        <v>0</v>
      </c>
      <c r="AE19" s="7">
        <f t="shared" si="4"/>
        <v>0</v>
      </c>
    </row>
    <row r="20" spans="1:48" ht="15.6" x14ac:dyDescent="0.3">
      <c r="A20" s="90">
        <f>FORMULATION!C21</f>
        <v>0</v>
      </c>
      <c r="B20" s="134">
        <f>FORMULATION!D21</f>
        <v>0</v>
      </c>
      <c r="C20" s="129">
        <f t="shared" si="0"/>
        <v>0</v>
      </c>
      <c r="D20" s="135">
        <f>VLOOKUP(FORMULATION!$B21,'FEED LIST'!$A$2:$V$1000,4)</f>
        <v>0</v>
      </c>
      <c r="E20" s="136">
        <f>VLOOKUP(FORMULATION!$B21,'FEED LIST'!$A$2:$V$1000,5)</f>
        <v>0</v>
      </c>
      <c r="F20" s="136">
        <f>VLOOKUP(FORMULATION!$B21,'FEED LIST'!$A$2:$V$1000,6)</f>
        <v>0</v>
      </c>
      <c r="G20" s="136">
        <f>VLOOKUP(FORMULATION!$B21,'FEED LIST'!$A$2:$V$1000,7)</f>
        <v>0</v>
      </c>
      <c r="H20" s="135">
        <f>VLOOKUP(FORMULATION!$B21,'FEED LIST'!$A$2:$V$1000,8)</f>
        <v>0</v>
      </c>
      <c r="I20" s="135">
        <f>VLOOKUP(FORMULATION!$B21,'FEED LIST'!$A$2:$V$1000,9)</f>
        <v>0</v>
      </c>
      <c r="J20" s="135">
        <f>VLOOKUP(FORMULATION!$B21,'FEED LIST'!$A$2:$V$1000,10)</f>
        <v>0</v>
      </c>
      <c r="K20" s="129">
        <f>VLOOKUP(FORMULATION!$B21,'FEED LIST'!$A$2:$V$1000,11)</f>
        <v>0</v>
      </c>
      <c r="L20" s="129"/>
      <c r="M20" s="137">
        <f>VLOOKUP(FORMULATION!$B21,'FEED LIST'!$A$2:$V$1000,12)</f>
        <v>0</v>
      </c>
      <c r="N20" s="137">
        <f>VLOOKUP(FORMULATION!$B21,'FEED LIST'!$A$2:$V$1000,13)</f>
        <v>0</v>
      </c>
      <c r="O20" s="137">
        <f>VLOOKUP(FORMULATION!$B21,'FEED LIST'!$A$2:$V$1000,14)</f>
        <v>0</v>
      </c>
      <c r="P20" s="137">
        <f>VLOOKUP(FORMULATION!$B21,'FEED LIST'!$A$2:$V$1000,15)</f>
        <v>0</v>
      </c>
      <c r="Q20" s="138">
        <f>VLOOKUP(FORMULATION!$B21,'FEED LIST'!$A$2:$V$1000,16)</f>
        <v>0</v>
      </c>
      <c r="R20" s="139">
        <f>VLOOKUP(FORMULATION!$B21,'FEED LIST'!$A$2:$V$1000,17)</f>
        <v>0</v>
      </c>
      <c r="S20" s="137">
        <f>VLOOKUP(FORMULATION!$B21,'FEED LIST'!$A$2:$V$1000,18)</f>
        <v>0</v>
      </c>
      <c r="T20" s="139">
        <f>VLOOKUP(FORMULATION!$B21,'FEED LIST'!$A$2:$V$1000,19)</f>
        <v>0</v>
      </c>
      <c r="U20" s="140">
        <f>VLOOKUP(FORMULATION!$B21,'FEED LIST'!$A$2:$V$1000,20)</f>
        <v>0</v>
      </c>
      <c r="V20" s="140">
        <f>VLOOKUP(FORMULATION!$B21,'FEED LIST'!$A$2:$V$1000,21)</f>
        <v>0</v>
      </c>
      <c r="W20" s="140">
        <f>VLOOKUP(FORMULATION!$B21,'FEED LIST'!$A$2:$V$1000,22)</f>
        <v>0</v>
      </c>
      <c r="X20" s="132">
        <f>VLOOKUP(FORMULATION!$B21,'FEED LIST'!$A$2:$Y$1000,23)</f>
        <v>0</v>
      </c>
      <c r="Y20" s="132">
        <f>VLOOKUP(FORMULATION!$B21,'FEED LIST'!$A$2:$Y$1000,24)</f>
        <v>0</v>
      </c>
      <c r="Z20" s="133">
        <f>VLOOKUP(FORMULATION!$B21,'FEED LIST'!$A$2:$Y$1000,25)</f>
        <v>0</v>
      </c>
      <c r="AA20" s="23">
        <f>(FORMULATION!D21/FORMULATION!D$28*100)</f>
        <v>0</v>
      </c>
      <c r="AB20" s="17" t="e">
        <f t="shared" si="1"/>
        <v>#DIV/0!</v>
      </c>
      <c r="AC20" s="17" t="b">
        <f t="shared" si="2"/>
        <v>1</v>
      </c>
      <c r="AD20" s="7">
        <f t="shared" si="3"/>
        <v>0</v>
      </c>
      <c r="AE20" s="7">
        <f t="shared" si="4"/>
        <v>0</v>
      </c>
    </row>
    <row r="21" spans="1:48" ht="15.6" x14ac:dyDescent="0.3">
      <c r="A21" s="90">
        <f>FORMULATION!C22</f>
        <v>0</v>
      </c>
      <c r="B21" s="134">
        <f>FORMULATION!D22</f>
        <v>0</v>
      </c>
      <c r="C21" s="129">
        <f t="shared" si="0"/>
        <v>0</v>
      </c>
      <c r="D21" s="135">
        <f>VLOOKUP(FORMULATION!$B22,'FEED LIST'!$A$2:$V$1000,4)</f>
        <v>0</v>
      </c>
      <c r="E21" s="136">
        <f>VLOOKUP(FORMULATION!$B22,'FEED LIST'!$A$2:$V$1000,5)</f>
        <v>0</v>
      </c>
      <c r="F21" s="136">
        <f>VLOOKUP(FORMULATION!$B22,'FEED LIST'!$A$2:$V$1000,6)</f>
        <v>0</v>
      </c>
      <c r="G21" s="136">
        <f>VLOOKUP(FORMULATION!$B22,'FEED LIST'!$A$2:$V$1000,7)</f>
        <v>0</v>
      </c>
      <c r="H21" s="135">
        <f>VLOOKUP(FORMULATION!$B22,'FEED LIST'!$A$2:$V$1000,8)</f>
        <v>0</v>
      </c>
      <c r="I21" s="135">
        <f>VLOOKUP(FORMULATION!$B22,'FEED LIST'!$A$2:$V$1000,9)</f>
        <v>0</v>
      </c>
      <c r="J21" s="135">
        <f>VLOOKUP(FORMULATION!$B22,'FEED LIST'!$A$2:$V$1000,10)</f>
        <v>0</v>
      </c>
      <c r="K21" s="129">
        <f>VLOOKUP(FORMULATION!$B22,'FEED LIST'!$A$2:$V$1000,11)</f>
        <v>0</v>
      </c>
      <c r="L21" s="129"/>
      <c r="M21" s="137">
        <f>VLOOKUP(FORMULATION!$B22,'FEED LIST'!$A$2:$V$1000,12)</f>
        <v>0</v>
      </c>
      <c r="N21" s="137">
        <f>VLOOKUP(FORMULATION!$B22,'FEED LIST'!$A$2:$V$1000,13)</f>
        <v>0</v>
      </c>
      <c r="O21" s="137">
        <f>VLOOKUP(FORMULATION!$B22,'FEED LIST'!$A$2:$V$1000,14)</f>
        <v>0</v>
      </c>
      <c r="P21" s="137">
        <f>VLOOKUP(FORMULATION!$B22,'FEED LIST'!$A$2:$V$1000,15)</f>
        <v>0</v>
      </c>
      <c r="Q21" s="138">
        <f>VLOOKUP(FORMULATION!$B22,'FEED LIST'!$A$2:$V$1000,16)</f>
        <v>0</v>
      </c>
      <c r="R21" s="139">
        <f>VLOOKUP(FORMULATION!$B22,'FEED LIST'!$A$2:$V$1000,17)</f>
        <v>0</v>
      </c>
      <c r="S21" s="137">
        <f>VLOOKUP(FORMULATION!$B22,'FEED LIST'!$A$2:$V$1000,18)</f>
        <v>0</v>
      </c>
      <c r="T21" s="139">
        <f>VLOOKUP(FORMULATION!$B22,'FEED LIST'!$A$2:$V$1000,19)</f>
        <v>0</v>
      </c>
      <c r="U21" s="140">
        <f>VLOOKUP(FORMULATION!$B22,'FEED LIST'!$A$2:$V$1000,20)</f>
        <v>0</v>
      </c>
      <c r="V21" s="140">
        <f>VLOOKUP(FORMULATION!$B22,'FEED LIST'!$A$2:$V$1000,21)</f>
        <v>0</v>
      </c>
      <c r="W21" s="140">
        <f>VLOOKUP(FORMULATION!$B22,'FEED LIST'!$A$2:$V$1000,22)</f>
        <v>0</v>
      </c>
      <c r="X21" s="132">
        <f>VLOOKUP(FORMULATION!$B22,'FEED LIST'!$A$2:$Y$1000,23)</f>
        <v>0</v>
      </c>
      <c r="Y21" s="132">
        <f>VLOOKUP(FORMULATION!$B22,'FEED LIST'!$A$2:$Y$1000,24)</f>
        <v>0</v>
      </c>
      <c r="Z21" s="133">
        <f>VLOOKUP(FORMULATION!$B22,'FEED LIST'!$A$2:$Y$1000,25)</f>
        <v>0</v>
      </c>
      <c r="AA21" s="23">
        <f>(FORMULATION!D22/FORMULATION!D$28*100)</f>
        <v>0</v>
      </c>
      <c r="AB21" s="17" t="e">
        <f t="shared" si="1"/>
        <v>#DIV/0!</v>
      </c>
      <c r="AC21" s="17" t="b">
        <f t="shared" si="2"/>
        <v>1</v>
      </c>
      <c r="AD21" s="7">
        <f t="shared" si="3"/>
        <v>0</v>
      </c>
      <c r="AE21" s="7">
        <f t="shared" si="4"/>
        <v>0</v>
      </c>
    </row>
    <row r="22" spans="1:48" ht="15.6" x14ac:dyDescent="0.3">
      <c r="A22" s="90">
        <f>FORMULATION!C23</f>
        <v>0</v>
      </c>
      <c r="B22" s="134">
        <f>FORMULATION!D23</f>
        <v>0</v>
      </c>
      <c r="C22" s="129">
        <f t="shared" si="0"/>
        <v>0</v>
      </c>
      <c r="D22" s="135">
        <f>VLOOKUP(FORMULATION!$B23,'FEED LIST'!$A$2:$V$1000,4)</f>
        <v>0</v>
      </c>
      <c r="E22" s="136">
        <f>VLOOKUP(FORMULATION!$B23,'FEED LIST'!$A$2:$V$1000,5)</f>
        <v>0</v>
      </c>
      <c r="F22" s="136">
        <f>VLOOKUP(FORMULATION!$B23,'FEED LIST'!$A$2:$V$1000,6)</f>
        <v>0</v>
      </c>
      <c r="G22" s="136">
        <f>VLOOKUP(FORMULATION!$B23,'FEED LIST'!$A$2:$V$1000,7)</f>
        <v>0</v>
      </c>
      <c r="H22" s="135">
        <f>VLOOKUP(FORMULATION!$B23,'FEED LIST'!$A$2:$V$1000,8)</f>
        <v>0</v>
      </c>
      <c r="I22" s="135">
        <f>VLOOKUP(FORMULATION!$B23,'FEED LIST'!$A$2:$V$1000,9)</f>
        <v>0</v>
      </c>
      <c r="J22" s="135">
        <f>VLOOKUP(FORMULATION!$B23,'FEED LIST'!$A$2:$V$1000,10)</f>
        <v>0</v>
      </c>
      <c r="K22" s="129">
        <f>VLOOKUP(FORMULATION!$B23,'FEED LIST'!$A$2:$V$1000,11)</f>
        <v>0</v>
      </c>
      <c r="L22" s="129"/>
      <c r="M22" s="137">
        <f>VLOOKUP(FORMULATION!$B23,'FEED LIST'!$A$2:$V$1000,12)</f>
        <v>0</v>
      </c>
      <c r="N22" s="137">
        <f>VLOOKUP(FORMULATION!$B23,'FEED LIST'!$A$2:$V$1000,13)</f>
        <v>0</v>
      </c>
      <c r="O22" s="137">
        <f>VLOOKUP(FORMULATION!$B23,'FEED LIST'!$A$2:$V$1000,14)</f>
        <v>0</v>
      </c>
      <c r="P22" s="137">
        <f>VLOOKUP(FORMULATION!$B23,'FEED LIST'!$A$2:$V$1000,15)</f>
        <v>0</v>
      </c>
      <c r="Q22" s="138">
        <f>VLOOKUP(FORMULATION!$B23,'FEED LIST'!$A$2:$V$1000,16)</f>
        <v>0</v>
      </c>
      <c r="R22" s="139">
        <f>VLOOKUP(FORMULATION!$B23,'FEED LIST'!$A$2:$V$1000,17)</f>
        <v>0</v>
      </c>
      <c r="S22" s="137">
        <f>VLOOKUP(FORMULATION!$B23,'FEED LIST'!$A$2:$V$1000,18)</f>
        <v>0</v>
      </c>
      <c r="T22" s="139">
        <f>VLOOKUP(FORMULATION!$B23,'FEED LIST'!$A$2:$V$1000,19)</f>
        <v>0</v>
      </c>
      <c r="U22" s="140">
        <f>VLOOKUP(FORMULATION!$B23,'FEED LIST'!$A$2:$V$1000,20)</f>
        <v>0</v>
      </c>
      <c r="V22" s="140">
        <f>VLOOKUP(FORMULATION!$B23,'FEED LIST'!$A$2:$V$1000,21)</f>
        <v>0</v>
      </c>
      <c r="W22" s="140">
        <f>VLOOKUP(FORMULATION!$B23,'FEED LIST'!$A$2:$V$1000,22)</f>
        <v>0</v>
      </c>
      <c r="X22" s="132">
        <f>VLOOKUP(FORMULATION!$B23,'FEED LIST'!$A$2:$Y$1000,23)</f>
        <v>0</v>
      </c>
      <c r="Y22" s="132">
        <f>VLOOKUP(FORMULATION!$B23,'FEED LIST'!$A$2:$Y$1000,24)</f>
        <v>0</v>
      </c>
      <c r="Z22" s="133">
        <f>VLOOKUP(FORMULATION!$B23,'FEED LIST'!$A$2:$Y$1000,25)</f>
        <v>0</v>
      </c>
      <c r="AA22" s="23">
        <f>(FORMULATION!D23/FORMULATION!D$28*100)</f>
        <v>0</v>
      </c>
      <c r="AB22" s="17" t="e">
        <f t="shared" si="1"/>
        <v>#DIV/0!</v>
      </c>
      <c r="AC22" s="17" t="b">
        <f t="shared" si="2"/>
        <v>1</v>
      </c>
      <c r="AD22" s="7">
        <f t="shared" si="3"/>
        <v>0</v>
      </c>
      <c r="AE22" s="7">
        <f t="shared" si="4"/>
        <v>0</v>
      </c>
    </row>
    <row r="23" spans="1:48" ht="15.6" x14ac:dyDescent="0.3">
      <c r="A23" s="90">
        <f>FORMULATION!C24</f>
        <v>0</v>
      </c>
      <c r="B23" s="134">
        <f>FORMULATION!D24</f>
        <v>0</v>
      </c>
      <c r="C23" s="129">
        <f t="shared" si="0"/>
        <v>0</v>
      </c>
      <c r="D23" s="135">
        <f>VLOOKUP(FORMULATION!$B24,'FEED LIST'!$A$2:$V$1000,4)</f>
        <v>0</v>
      </c>
      <c r="E23" s="136">
        <f>VLOOKUP(FORMULATION!$B24,'FEED LIST'!$A$2:$V$1000,5)</f>
        <v>0</v>
      </c>
      <c r="F23" s="136">
        <f>VLOOKUP(FORMULATION!$B24,'FEED LIST'!$A$2:$V$1000,6)</f>
        <v>0</v>
      </c>
      <c r="G23" s="136">
        <f>VLOOKUP(FORMULATION!$B24,'FEED LIST'!$A$2:$V$1000,7)</f>
        <v>0</v>
      </c>
      <c r="H23" s="135">
        <f>VLOOKUP(FORMULATION!$B24,'FEED LIST'!$A$2:$V$1000,8)</f>
        <v>0</v>
      </c>
      <c r="I23" s="135">
        <f>VLOOKUP(FORMULATION!$B24,'FEED LIST'!$A$2:$V$1000,9)</f>
        <v>0</v>
      </c>
      <c r="J23" s="135">
        <f>VLOOKUP(FORMULATION!$B24,'FEED LIST'!$A$2:$V$1000,10)</f>
        <v>0</v>
      </c>
      <c r="K23" s="129">
        <f>VLOOKUP(FORMULATION!$B24,'FEED LIST'!$A$2:$V$1000,11)</f>
        <v>0</v>
      </c>
      <c r="L23" s="129"/>
      <c r="M23" s="137">
        <f>VLOOKUP(FORMULATION!$B24,'FEED LIST'!$A$2:$V$1000,12)</f>
        <v>0</v>
      </c>
      <c r="N23" s="137">
        <f>VLOOKUP(FORMULATION!$B24,'FEED LIST'!$A$2:$V$1000,13)</f>
        <v>0</v>
      </c>
      <c r="O23" s="137">
        <f>VLOOKUP(FORMULATION!$B24,'FEED LIST'!$A$2:$V$1000,14)</f>
        <v>0</v>
      </c>
      <c r="P23" s="137">
        <f>VLOOKUP(FORMULATION!$B24,'FEED LIST'!$A$2:$V$1000,15)</f>
        <v>0</v>
      </c>
      <c r="Q23" s="138">
        <f>VLOOKUP(FORMULATION!$B24,'FEED LIST'!$A$2:$V$1000,16)</f>
        <v>0</v>
      </c>
      <c r="R23" s="139">
        <f>VLOOKUP(FORMULATION!$B24,'FEED LIST'!$A$2:$V$1000,17)</f>
        <v>0</v>
      </c>
      <c r="S23" s="137">
        <f>VLOOKUP(FORMULATION!$B24,'FEED LIST'!$A$2:$V$1000,18)</f>
        <v>0</v>
      </c>
      <c r="T23" s="139">
        <f>VLOOKUP(FORMULATION!$B24,'FEED LIST'!$A$2:$V$1000,19)</f>
        <v>0</v>
      </c>
      <c r="U23" s="140">
        <f>VLOOKUP(FORMULATION!$B24,'FEED LIST'!$A$2:$V$1000,20)</f>
        <v>0</v>
      </c>
      <c r="V23" s="140">
        <f>VLOOKUP(FORMULATION!$B24,'FEED LIST'!$A$2:$V$1000,21)</f>
        <v>0</v>
      </c>
      <c r="W23" s="140">
        <f>VLOOKUP(FORMULATION!$B24,'FEED LIST'!$A$2:$V$1000,22)</f>
        <v>0</v>
      </c>
      <c r="X23" s="132">
        <f>VLOOKUP(FORMULATION!$B24,'FEED LIST'!$A$2:$Y$1000,23)</f>
        <v>0</v>
      </c>
      <c r="Y23" s="132">
        <f>VLOOKUP(FORMULATION!$B24,'FEED LIST'!$A$2:$Y$1000,24)</f>
        <v>0</v>
      </c>
      <c r="Z23" s="133">
        <f>VLOOKUP(FORMULATION!$B24,'FEED LIST'!$A$2:$Y$1000,25)</f>
        <v>0</v>
      </c>
      <c r="AA23" s="23">
        <f>(FORMULATION!D24/FORMULATION!D$28*100)</f>
        <v>0</v>
      </c>
      <c r="AB23" s="17" t="e">
        <f t="shared" si="1"/>
        <v>#DIV/0!</v>
      </c>
      <c r="AC23" s="17" t="b">
        <f t="shared" si="2"/>
        <v>1</v>
      </c>
      <c r="AD23" s="7">
        <f t="shared" si="3"/>
        <v>0</v>
      </c>
      <c r="AE23" s="7">
        <f t="shared" si="4"/>
        <v>0</v>
      </c>
    </row>
    <row r="24" spans="1:48" ht="15.6" x14ac:dyDescent="0.3">
      <c r="A24" s="90">
        <f>FORMULATION!C25</f>
        <v>0</v>
      </c>
      <c r="B24" s="134">
        <f>FORMULATION!D25</f>
        <v>0</v>
      </c>
      <c r="C24" s="129">
        <f t="shared" si="0"/>
        <v>0</v>
      </c>
      <c r="D24" s="135">
        <f>VLOOKUP(FORMULATION!$B25,'FEED LIST'!$A$2:$V$1000,4)</f>
        <v>0</v>
      </c>
      <c r="E24" s="136">
        <f>VLOOKUP(FORMULATION!$B25,'FEED LIST'!$A$2:$V$1000,5)</f>
        <v>0</v>
      </c>
      <c r="F24" s="136">
        <f>VLOOKUP(FORMULATION!$B25,'FEED LIST'!$A$2:$V$1000,6)</f>
        <v>0</v>
      </c>
      <c r="G24" s="136">
        <f>VLOOKUP(FORMULATION!$B25,'FEED LIST'!$A$2:$V$1000,7)</f>
        <v>0</v>
      </c>
      <c r="H24" s="135">
        <f>VLOOKUP(FORMULATION!$B25,'FEED LIST'!$A$2:$V$1000,8)</f>
        <v>0</v>
      </c>
      <c r="I24" s="135">
        <f>VLOOKUP(FORMULATION!$B25,'FEED LIST'!$A$2:$V$1000,9)</f>
        <v>0</v>
      </c>
      <c r="J24" s="135">
        <f>VLOOKUP(FORMULATION!$B25,'FEED LIST'!$A$2:$V$1000,10)</f>
        <v>0</v>
      </c>
      <c r="K24" s="129">
        <f>VLOOKUP(FORMULATION!$B25,'FEED LIST'!$A$2:$V$1000,11)</f>
        <v>0</v>
      </c>
      <c r="L24" s="129"/>
      <c r="M24" s="137">
        <f>VLOOKUP(FORMULATION!$B25,'FEED LIST'!$A$2:$V$1000,12)</f>
        <v>0</v>
      </c>
      <c r="N24" s="137">
        <f>VLOOKUP(FORMULATION!$B25,'FEED LIST'!$A$2:$V$1000,13)</f>
        <v>0</v>
      </c>
      <c r="O24" s="137">
        <f>VLOOKUP(FORMULATION!$B25,'FEED LIST'!$A$2:$V$1000,14)</f>
        <v>0</v>
      </c>
      <c r="P24" s="137">
        <f>VLOOKUP(FORMULATION!$B25,'FEED LIST'!$A$2:$V$1000,15)</f>
        <v>0</v>
      </c>
      <c r="Q24" s="138">
        <f>VLOOKUP(FORMULATION!$B25,'FEED LIST'!$A$2:$V$1000,16)</f>
        <v>0</v>
      </c>
      <c r="R24" s="139">
        <f>VLOOKUP(FORMULATION!$B25,'FEED LIST'!$A$2:$V$1000,17)</f>
        <v>0</v>
      </c>
      <c r="S24" s="137">
        <f>VLOOKUP(FORMULATION!$B25,'FEED LIST'!$A$2:$V$1000,18)</f>
        <v>0</v>
      </c>
      <c r="T24" s="139">
        <f>VLOOKUP(FORMULATION!$B25,'FEED LIST'!$A$2:$V$1000,19)</f>
        <v>0</v>
      </c>
      <c r="U24" s="140">
        <f>VLOOKUP(FORMULATION!$B25,'FEED LIST'!$A$2:$V$1000,20)</f>
        <v>0</v>
      </c>
      <c r="V24" s="140">
        <f>VLOOKUP(FORMULATION!$B25,'FEED LIST'!$A$2:$V$1000,21)</f>
        <v>0</v>
      </c>
      <c r="W24" s="140">
        <f>VLOOKUP(FORMULATION!$B25,'FEED LIST'!$A$2:$V$1000,22)</f>
        <v>0</v>
      </c>
      <c r="X24" s="132">
        <f>VLOOKUP(FORMULATION!$B25,'FEED LIST'!$A$2:$Y$1000,23)</f>
        <v>0</v>
      </c>
      <c r="Y24" s="132">
        <f>VLOOKUP(FORMULATION!$B25,'FEED LIST'!$A$2:$Y$1000,24)</f>
        <v>0</v>
      </c>
      <c r="Z24" s="133">
        <f>VLOOKUP(FORMULATION!$B25,'FEED LIST'!$A$2:$Y$1000,25)</f>
        <v>0</v>
      </c>
      <c r="AA24" s="23">
        <f>(FORMULATION!D25/FORMULATION!D$28*100)</f>
        <v>0</v>
      </c>
      <c r="AB24" s="17" t="e">
        <f t="shared" si="1"/>
        <v>#DIV/0!</v>
      </c>
      <c r="AC24" s="17" t="b">
        <f t="shared" si="2"/>
        <v>1</v>
      </c>
      <c r="AD24" s="7">
        <f t="shared" si="3"/>
        <v>0</v>
      </c>
      <c r="AE24" s="7">
        <f t="shared" si="4"/>
        <v>0</v>
      </c>
    </row>
    <row r="25" spans="1:48" ht="15.6" x14ac:dyDescent="0.3">
      <c r="A25" s="90">
        <f>FORMULATION!C26</f>
        <v>0</v>
      </c>
      <c r="B25" s="134">
        <f>FORMULATION!D26</f>
        <v>0</v>
      </c>
      <c r="C25" s="129">
        <f t="shared" si="0"/>
        <v>0</v>
      </c>
      <c r="D25" s="135">
        <f>VLOOKUP(FORMULATION!$B26,'FEED LIST'!$A$2:$V$1000,4)</f>
        <v>0</v>
      </c>
      <c r="E25" s="136">
        <f>VLOOKUP(FORMULATION!$B26,'FEED LIST'!$A$2:$V$1000,5)</f>
        <v>0</v>
      </c>
      <c r="F25" s="136">
        <f>VLOOKUP(FORMULATION!$B26,'FEED LIST'!$A$2:$V$1000,6)</f>
        <v>0</v>
      </c>
      <c r="G25" s="136">
        <f>VLOOKUP(FORMULATION!$B26,'FEED LIST'!$A$2:$V$1000,7)</f>
        <v>0</v>
      </c>
      <c r="H25" s="135">
        <f>VLOOKUP(FORMULATION!$B26,'FEED LIST'!$A$2:$V$1000,8)</f>
        <v>0</v>
      </c>
      <c r="I25" s="135">
        <f>VLOOKUP(FORMULATION!$B26,'FEED LIST'!$A$2:$V$1000,9)</f>
        <v>0</v>
      </c>
      <c r="J25" s="135">
        <f>VLOOKUP(FORMULATION!$B26,'FEED LIST'!$A$2:$V$1000,10)</f>
        <v>0</v>
      </c>
      <c r="K25" s="129">
        <f>VLOOKUP(FORMULATION!$B26,'FEED LIST'!$A$2:$V$1000,11)</f>
        <v>0</v>
      </c>
      <c r="L25" s="129"/>
      <c r="M25" s="137">
        <f>VLOOKUP(FORMULATION!$B26,'FEED LIST'!$A$2:$V$1000,12)</f>
        <v>0</v>
      </c>
      <c r="N25" s="137">
        <f>VLOOKUP(FORMULATION!$B26,'FEED LIST'!$A$2:$V$1000,13)</f>
        <v>0</v>
      </c>
      <c r="O25" s="137">
        <f>VLOOKUP(FORMULATION!$B26,'FEED LIST'!$A$2:$V$1000,14)</f>
        <v>0</v>
      </c>
      <c r="P25" s="137">
        <f>VLOOKUP(FORMULATION!$B26,'FEED LIST'!$A$2:$V$1000,15)</f>
        <v>0</v>
      </c>
      <c r="Q25" s="138">
        <f>VLOOKUP(FORMULATION!$B26,'FEED LIST'!$A$2:$V$1000,16)</f>
        <v>0</v>
      </c>
      <c r="R25" s="139">
        <f>VLOOKUP(FORMULATION!$B26,'FEED LIST'!$A$2:$V$1000,17)</f>
        <v>0</v>
      </c>
      <c r="S25" s="137">
        <f>VLOOKUP(FORMULATION!$B26,'FEED LIST'!$A$2:$V$1000,18)</f>
        <v>0</v>
      </c>
      <c r="T25" s="139">
        <f>VLOOKUP(FORMULATION!$B26,'FEED LIST'!$A$2:$V$1000,19)</f>
        <v>0</v>
      </c>
      <c r="U25" s="140">
        <f>VLOOKUP(FORMULATION!$B26,'FEED LIST'!$A$2:$V$1000,20)</f>
        <v>0</v>
      </c>
      <c r="V25" s="140">
        <f>VLOOKUP(FORMULATION!$B26,'FEED LIST'!$A$2:$V$1000,21)</f>
        <v>0</v>
      </c>
      <c r="W25" s="140">
        <f>VLOOKUP(FORMULATION!$B26,'FEED LIST'!$A$2:$V$1000,22)</f>
        <v>0</v>
      </c>
      <c r="X25" s="132">
        <f>VLOOKUP(FORMULATION!$B26,'FEED LIST'!$A$2:$Y$1000,23)</f>
        <v>0</v>
      </c>
      <c r="Y25" s="132">
        <f>VLOOKUP(FORMULATION!$B26,'FEED LIST'!$A$2:$Y$1000,24)</f>
        <v>0</v>
      </c>
      <c r="Z25" s="133">
        <f>VLOOKUP(FORMULATION!$B26,'FEED LIST'!$A$2:$Y$1000,25)</f>
        <v>0</v>
      </c>
      <c r="AA25" s="23">
        <f>(FORMULATION!D26/FORMULATION!D$28*100)</f>
        <v>0</v>
      </c>
      <c r="AB25" s="17" t="e">
        <f t="shared" si="1"/>
        <v>#DIV/0!</v>
      </c>
      <c r="AC25" s="17" t="b">
        <f t="shared" si="2"/>
        <v>1</v>
      </c>
      <c r="AD25" s="7">
        <f t="shared" si="3"/>
        <v>0</v>
      </c>
      <c r="AE25" s="7">
        <f t="shared" si="4"/>
        <v>0</v>
      </c>
    </row>
    <row r="26" spans="1:48" ht="12" customHeight="1" x14ac:dyDescent="0.3">
      <c r="A26" s="141">
        <f>FORMULATION!C27</f>
        <v>0</v>
      </c>
      <c r="B26" s="142">
        <f>FORMULATION!D27</f>
        <v>0</v>
      </c>
      <c r="C26" s="143">
        <f t="shared" si="0"/>
        <v>0</v>
      </c>
      <c r="D26" s="144">
        <f>VLOOKUP(FORMULATION!$B27,'FEED LIST'!$A$2:$V$1000,4)</f>
        <v>0</v>
      </c>
      <c r="E26" s="145">
        <f>VLOOKUP(FORMULATION!$B27,'FEED LIST'!$A$2:$V$1000,5)</f>
        <v>0</v>
      </c>
      <c r="F26" s="145">
        <f>VLOOKUP(FORMULATION!$B27,'FEED LIST'!$A$2:$V$1000,6)</f>
        <v>0</v>
      </c>
      <c r="G26" s="145">
        <f>VLOOKUP(FORMULATION!$B27,'FEED LIST'!$A$2:$V$1000,7)</f>
        <v>0</v>
      </c>
      <c r="H26" s="144">
        <f>VLOOKUP(FORMULATION!$B27,'FEED LIST'!$A$2:$V$1000,8)</f>
        <v>0</v>
      </c>
      <c r="I26" s="144">
        <f>VLOOKUP(FORMULATION!$B27,'FEED LIST'!$A$2:$V$1000,9)</f>
        <v>0</v>
      </c>
      <c r="J26" s="144">
        <f>VLOOKUP(FORMULATION!$B27,'FEED LIST'!$A$2:$V$1000,10)</f>
        <v>0</v>
      </c>
      <c r="K26" s="129">
        <f>VLOOKUP(FORMULATION!$B27,'FEED LIST'!$A$2:$V$1000,11)</f>
        <v>0</v>
      </c>
      <c r="L26" s="143"/>
      <c r="M26" s="146">
        <f>VLOOKUP(FORMULATION!$B27,'FEED LIST'!$A$2:$V$1000,12)</f>
        <v>0</v>
      </c>
      <c r="N26" s="146">
        <f>VLOOKUP(FORMULATION!$B27,'FEED LIST'!$A$2:$V$1000,13)</f>
        <v>0</v>
      </c>
      <c r="O26" s="146">
        <f>VLOOKUP(FORMULATION!$B27,'FEED LIST'!$A$2:$V$1000,14)</f>
        <v>0</v>
      </c>
      <c r="P26" s="146">
        <f>VLOOKUP(FORMULATION!$B27,'FEED LIST'!$A$2:$V$1000,15)</f>
        <v>0</v>
      </c>
      <c r="Q26" s="147">
        <f>VLOOKUP(FORMULATION!$B27,'FEED LIST'!$A$2:$V$1000,16)</f>
        <v>0</v>
      </c>
      <c r="R26" s="148">
        <f>VLOOKUP(FORMULATION!$B27,'FEED LIST'!$A$2:$V$1000,17)</f>
        <v>0</v>
      </c>
      <c r="S26" s="146">
        <f>VLOOKUP(FORMULATION!$B27,'FEED LIST'!$A$2:$V$1000,18)</f>
        <v>0</v>
      </c>
      <c r="T26" s="148">
        <f>VLOOKUP(FORMULATION!$B27,'FEED LIST'!$A$2:$V$1000,19)</f>
        <v>0</v>
      </c>
      <c r="U26" s="149">
        <f>VLOOKUP(FORMULATION!$B27,'FEED LIST'!$A$2:$V$1000,20)</f>
        <v>0</v>
      </c>
      <c r="V26" s="149">
        <f>VLOOKUP(FORMULATION!$B27,'FEED LIST'!$A$2:$V$1000,21)</f>
        <v>0</v>
      </c>
      <c r="W26" s="149">
        <f>VLOOKUP(FORMULATION!$B27,'FEED LIST'!$A$2:$V$1000,22)</f>
        <v>0</v>
      </c>
      <c r="X26" s="150">
        <f>VLOOKUP(FORMULATION!$B27,'FEED LIST'!$A$2:$Y$1000,23)</f>
        <v>0</v>
      </c>
      <c r="Y26" s="150">
        <f>VLOOKUP(FORMULATION!$B27,'FEED LIST'!$A$2:$Y$1000,24)</f>
        <v>0</v>
      </c>
      <c r="Z26" s="151">
        <f>VLOOKUP(FORMULATION!$B27,'FEED LIST'!$A$2:$Y$1000,25)</f>
        <v>0</v>
      </c>
      <c r="AA26" s="26">
        <f>(FORMULATION!D27/FORMULATION!D$28*100)</f>
        <v>0</v>
      </c>
      <c r="AB26" s="27" t="e">
        <f t="shared" si="1"/>
        <v>#DIV/0!</v>
      </c>
      <c r="AC26" s="27" t="b">
        <f t="shared" si="2"/>
        <v>1</v>
      </c>
      <c r="AD26" s="28">
        <f t="shared" si="3"/>
        <v>0</v>
      </c>
      <c r="AE26" s="28">
        <f t="shared" si="4"/>
        <v>0</v>
      </c>
    </row>
    <row r="27" spans="1:48" ht="15.6" hidden="1" x14ac:dyDescent="0.3">
      <c r="A27" s="35"/>
      <c r="B27" s="35">
        <f>SUM(B7:B26)</f>
        <v>100</v>
      </c>
      <c r="C27" s="152"/>
      <c r="D27" s="35"/>
      <c r="E27" s="153">
        <f t="shared" ref="E27:J27" si="5">SUM(E32:E51)</f>
        <v>55.475000000000001</v>
      </c>
      <c r="F27" s="153">
        <f t="shared" si="5"/>
        <v>29.662000000000003</v>
      </c>
      <c r="G27" s="153">
        <f t="shared" si="5"/>
        <v>12.88523</v>
      </c>
      <c r="H27" s="153">
        <f t="shared" si="5"/>
        <v>1.7906350000000002</v>
      </c>
      <c r="I27" s="153">
        <f t="shared" si="5"/>
        <v>0.66622499999999996</v>
      </c>
      <c r="J27" s="153">
        <f t="shared" si="5"/>
        <v>0.30335000000000001</v>
      </c>
      <c r="K27" s="152" t="e">
        <f>SUM(K32:K51)/AH1</f>
        <v>#DIV/0!</v>
      </c>
      <c r="L27" s="152"/>
      <c r="M27" s="154">
        <f t="shared" ref="M27:Z27" si="6">(M52)</f>
        <v>0.21642499999999998</v>
      </c>
      <c r="N27" s="154">
        <f t="shared" si="6"/>
        <v>0.21947999999999998</v>
      </c>
      <c r="O27" s="154">
        <f t="shared" si="6"/>
        <v>0.84456999999999993</v>
      </c>
      <c r="P27" s="155">
        <f t="shared" si="6"/>
        <v>8.7063449999999989</v>
      </c>
      <c r="Q27" s="156">
        <f t="shared" si="6"/>
        <v>179.86469499999998</v>
      </c>
      <c r="R27" s="155">
        <f t="shared" si="6"/>
        <v>70.838065000000014</v>
      </c>
      <c r="S27" s="154">
        <f t="shared" si="6"/>
        <v>4.2000000000000003E-2</v>
      </c>
      <c r="T27" s="155">
        <f t="shared" si="6"/>
        <v>38.134030000000003</v>
      </c>
      <c r="U27" s="155">
        <f t="shared" si="6"/>
        <v>59.669519999999999</v>
      </c>
      <c r="V27" s="155">
        <f t="shared" si="6"/>
        <v>3.5010650000000005</v>
      </c>
      <c r="W27" s="155">
        <f t="shared" si="6"/>
        <v>28.848494999999996</v>
      </c>
      <c r="X27" s="155">
        <f t="shared" si="6"/>
        <v>36.564219999999999</v>
      </c>
      <c r="Y27" s="155">
        <f t="shared" si="6"/>
        <v>59.762500000000003</v>
      </c>
      <c r="Z27" s="155">
        <f t="shared" si="6"/>
        <v>0.4</v>
      </c>
      <c r="AA27" s="29">
        <f>SUM(AA7:AA26)</f>
        <v>100</v>
      </c>
      <c r="AB27" s="17">
        <f>AD28</f>
        <v>109.11101759734588</v>
      </c>
      <c r="AC27" s="21"/>
      <c r="AE27" s="7">
        <f>SUM(AE7:AE26)</f>
        <v>100</v>
      </c>
    </row>
    <row r="28" spans="1:48" ht="15" x14ac:dyDescent="0.25">
      <c r="A28" s="78"/>
      <c r="B28" s="35"/>
      <c r="C28" s="137"/>
      <c r="D28" s="35"/>
      <c r="E28" s="157"/>
      <c r="F28" s="158"/>
      <c r="G28" s="159"/>
      <c r="H28" s="159"/>
      <c r="I28" s="159"/>
      <c r="J28" s="159"/>
      <c r="K28" s="137"/>
      <c r="L28" s="137"/>
      <c r="M28" s="78"/>
      <c r="N28" s="78"/>
      <c r="O28" s="78"/>
      <c r="P28" s="78"/>
      <c r="Q28" s="138"/>
      <c r="R28" s="78"/>
      <c r="S28" s="78"/>
      <c r="T28" s="78"/>
      <c r="U28" s="78"/>
      <c r="V28" s="78"/>
      <c r="W28" s="137"/>
      <c r="X28" s="132"/>
      <c r="Y28" s="132"/>
      <c r="Z28" s="132"/>
      <c r="AA28" s="17">
        <f>SUM(AA27)</f>
        <v>100</v>
      </c>
      <c r="AB28" s="23">
        <f>SUM(AB27)</f>
        <v>109.11101759734588</v>
      </c>
      <c r="AC28" s="23"/>
      <c r="AD28" s="23">
        <f>SUM(AD7:AD27)</f>
        <v>109.11101759734588</v>
      </c>
      <c r="AE28" s="23"/>
      <c r="AF28" s="23"/>
      <c r="AG28" s="23"/>
      <c r="AH28" s="23"/>
      <c r="AI28" s="17"/>
      <c r="AJ28" s="17"/>
      <c r="AK28" s="30"/>
      <c r="AL28" s="17"/>
      <c r="AM28" s="24"/>
      <c r="AN28" s="17"/>
      <c r="AO28" s="17"/>
      <c r="AP28" s="25"/>
      <c r="AQ28" s="23"/>
      <c r="AR28" s="17"/>
      <c r="AS28" s="17"/>
      <c r="AT28" s="17"/>
      <c r="AU28" s="17"/>
      <c r="AV28" s="17"/>
    </row>
    <row r="29" spans="1:48" ht="15.6" x14ac:dyDescent="0.3">
      <c r="A29" s="267" t="s">
        <v>122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</row>
    <row r="30" spans="1:48" ht="15.6" thickBot="1" x14ac:dyDescent="0.3">
      <c r="A30" s="78"/>
      <c r="B30" s="35"/>
      <c r="C30" s="35"/>
      <c r="D30" s="35"/>
      <c r="E30" s="262" t="s">
        <v>153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</row>
    <row r="31" spans="1:48" ht="45.75" customHeight="1" x14ac:dyDescent="0.3">
      <c r="A31" s="161" t="s">
        <v>121</v>
      </c>
      <c r="B31" s="162" t="s">
        <v>89</v>
      </c>
      <c r="C31" s="123" t="s">
        <v>152</v>
      </c>
      <c r="D31" s="127" t="s">
        <v>136</v>
      </c>
      <c r="E31" s="125" t="s">
        <v>2</v>
      </c>
      <c r="F31" s="125" t="s">
        <v>3</v>
      </c>
      <c r="G31" s="125" t="s">
        <v>4</v>
      </c>
      <c r="H31" s="125" t="s">
        <v>5</v>
      </c>
      <c r="I31" s="125" t="s">
        <v>6</v>
      </c>
      <c r="J31" s="125" t="s">
        <v>7</v>
      </c>
      <c r="K31" s="126" t="s">
        <v>8</v>
      </c>
      <c r="L31" s="126"/>
      <c r="M31" s="127" t="s">
        <v>9</v>
      </c>
      <c r="N31" s="127" t="s">
        <v>10</v>
      </c>
      <c r="O31" s="127" t="s">
        <v>11</v>
      </c>
      <c r="P31" s="124" t="s">
        <v>12</v>
      </c>
      <c r="Q31" s="163" t="s">
        <v>13</v>
      </c>
      <c r="R31" s="124" t="s">
        <v>14</v>
      </c>
      <c r="S31" s="124" t="s">
        <v>15</v>
      </c>
      <c r="T31" s="124" t="s">
        <v>16</v>
      </c>
      <c r="U31" s="125" t="s">
        <v>17</v>
      </c>
      <c r="V31" s="124" t="s">
        <v>34</v>
      </c>
      <c r="W31" s="124" t="s">
        <v>18</v>
      </c>
      <c r="X31" s="164" t="s">
        <v>127</v>
      </c>
      <c r="Y31" s="164" t="s">
        <v>128</v>
      </c>
      <c r="Z31" s="164" t="s">
        <v>129</v>
      </c>
    </row>
    <row r="32" spans="1:48" ht="15.6" x14ac:dyDescent="0.3">
      <c r="A32" s="128" t="str">
        <f>A7</f>
        <v>ALFALFA HAY, FAIR</v>
      </c>
      <c r="B32" s="80">
        <f>AA7</f>
        <v>0</v>
      </c>
      <c r="C32" s="165">
        <f t="shared" ref="C32:C51" si="7">IF(L32,0,K32)</f>
        <v>0</v>
      </c>
      <c r="D32" s="166">
        <f>IF(AB$1=2,AA7,AE7)</f>
        <v>0</v>
      </c>
      <c r="E32" s="130">
        <f t="shared" ref="E32:J32" si="8">($D32*E7/100)</f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 t="shared" si="8"/>
        <v>0</v>
      </c>
      <c r="K32" s="165">
        <f t="shared" ref="K32:K51" si="9">D32*(K7/(D7))</f>
        <v>0</v>
      </c>
      <c r="L32" s="165" t="b">
        <f>ISERR(K32)</f>
        <v>0</v>
      </c>
      <c r="M32" s="137">
        <f t="shared" ref="M32:V32" si="10">($D32*M7/100)</f>
        <v>0</v>
      </c>
      <c r="N32" s="137">
        <f t="shared" si="10"/>
        <v>0</v>
      </c>
      <c r="O32" s="137">
        <f t="shared" si="10"/>
        <v>0</v>
      </c>
      <c r="P32" s="130">
        <f t="shared" si="10"/>
        <v>0</v>
      </c>
      <c r="Q32" s="131">
        <f t="shared" si="10"/>
        <v>0</v>
      </c>
      <c r="R32" s="130">
        <f t="shared" si="10"/>
        <v>0</v>
      </c>
      <c r="S32" s="130">
        <f t="shared" si="10"/>
        <v>0</v>
      </c>
      <c r="T32" s="130">
        <f t="shared" si="10"/>
        <v>0</v>
      </c>
      <c r="U32" s="130">
        <f t="shared" si="10"/>
        <v>0</v>
      </c>
      <c r="V32" s="130">
        <f t="shared" si="10"/>
        <v>0</v>
      </c>
      <c r="W32" s="130">
        <f t="shared" ref="W32:Z48" si="11">($D32*W7/100)</f>
        <v>0</v>
      </c>
      <c r="X32" s="132">
        <f t="shared" si="11"/>
        <v>0</v>
      </c>
      <c r="Y32" s="132">
        <f t="shared" si="11"/>
        <v>0</v>
      </c>
      <c r="Z32" s="133">
        <f t="shared" si="11"/>
        <v>0</v>
      </c>
    </row>
    <row r="33" spans="1:26" ht="15.6" x14ac:dyDescent="0.3">
      <c r="A33" s="90" t="str">
        <f t="shared" ref="A33:A51" si="12">A8</f>
        <v xml:space="preserve">GRASS HAY </v>
      </c>
      <c r="B33" s="80">
        <f t="shared" ref="B33:B51" si="13">AA8</f>
        <v>89.5</v>
      </c>
      <c r="C33" s="165">
        <f t="shared" si="7"/>
        <v>4.8631260935241629</v>
      </c>
      <c r="D33" s="166">
        <f t="shared" ref="D33:D51" si="14">IF(AB$1=2,AA8,AE8)</f>
        <v>89.5</v>
      </c>
      <c r="E33" s="137">
        <f t="shared" ref="E33:J42" si="15">($D33*E8/100)</f>
        <v>45.645000000000003</v>
      </c>
      <c r="F33" s="137">
        <f t="shared" si="15"/>
        <v>22.912000000000003</v>
      </c>
      <c r="G33" s="137">
        <f t="shared" si="15"/>
        <v>9.7680299999999995</v>
      </c>
      <c r="H33" s="137">
        <f t="shared" si="15"/>
        <v>1.6852850000000001</v>
      </c>
      <c r="I33" s="137">
        <f t="shared" si="15"/>
        <v>0.46092500000000003</v>
      </c>
      <c r="J33" s="137">
        <f t="shared" si="15"/>
        <v>0.21479999999999999</v>
      </c>
      <c r="K33" s="165">
        <f t="shared" si="9"/>
        <v>4.8631260935241629</v>
      </c>
      <c r="L33" s="165" t="b">
        <f t="shared" ref="L33:L51" si="16">ISERR(K33)</f>
        <v>0</v>
      </c>
      <c r="M33" s="137">
        <f t="shared" ref="M33:V33" si="17">($D33*M8/100)</f>
        <v>0.183475</v>
      </c>
      <c r="N33" s="137">
        <f t="shared" si="17"/>
        <v>0.15572999999999998</v>
      </c>
      <c r="O33" s="137">
        <f t="shared" si="17"/>
        <v>0.79296999999999995</v>
      </c>
      <c r="P33" s="137">
        <f t="shared" si="17"/>
        <v>7.993244999999999</v>
      </c>
      <c r="Q33" s="138">
        <f t="shared" si="17"/>
        <v>165.68329499999999</v>
      </c>
      <c r="R33" s="137">
        <f t="shared" si="17"/>
        <v>67.077565000000007</v>
      </c>
      <c r="S33" s="137">
        <f t="shared" si="17"/>
        <v>0</v>
      </c>
      <c r="T33" s="137">
        <f t="shared" si="17"/>
        <v>31.462830000000004</v>
      </c>
      <c r="U33" s="137">
        <f t="shared" si="17"/>
        <v>51.369419999999998</v>
      </c>
      <c r="V33" s="137">
        <f t="shared" si="17"/>
        <v>2.2437650000000002</v>
      </c>
      <c r="W33" s="137">
        <f t="shared" si="11"/>
        <v>28.103894999999998</v>
      </c>
      <c r="X33" s="132">
        <f t="shared" si="11"/>
        <v>34.883519999999997</v>
      </c>
      <c r="Y33" s="132">
        <f t="shared" si="11"/>
        <v>56.367100000000001</v>
      </c>
      <c r="Z33" s="133">
        <f t="shared" si="11"/>
        <v>0</v>
      </c>
    </row>
    <row r="34" spans="1:26" ht="15.6" x14ac:dyDescent="0.3">
      <c r="A34" s="90" t="str">
        <f t="shared" si="12"/>
        <v>DISTILLERS GRAINS</v>
      </c>
      <c r="B34" s="80">
        <f t="shared" si="13"/>
        <v>10</v>
      </c>
      <c r="C34" s="165">
        <f t="shared" si="7"/>
        <v>1.7019731542101144</v>
      </c>
      <c r="D34" s="166">
        <f t="shared" si="14"/>
        <v>10</v>
      </c>
      <c r="E34" s="137">
        <f t="shared" si="15"/>
        <v>9.83</v>
      </c>
      <c r="F34" s="137">
        <f t="shared" si="15"/>
        <v>6.75</v>
      </c>
      <c r="G34" s="137">
        <f t="shared" si="15"/>
        <v>3.1172000000000004</v>
      </c>
      <c r="H34" s="137">
        <f t="shared" si="15"/>
        <v>0.10489999999999998</v>
      </c>
      <c r="I34" s="137">
        <f t="shared" si="15"/>
        <v>8.3000000000000001E-3</v>
      </c>
      <c r="J34" s="137">
        <f t="shared" si="15"/>
        <v>8.8100000000000012E-2</v>
      </c>
      <c r="K34" s="165">
        <f t="shared" si="9"/>
        <v>1.7019731542101144</v>
      </c>
      <c r="L34" s="165" t="b">
        <f t="shared" si="16"/>
        <v>0</v>
      </c>
      <c r="M34" s="137">
        <f t="shared" ref="M34:V34" si="18">($D34*M9/100)</f>
        <v>3.2099999999999997E-2</v>
      </c>
      <c r="N34" s="137">
        <f t="shared" si="18"/>
        <v>6.3700000000000007E-2</v>
      </c>
      <c r="O34" s="137">
        <f t="shared" si="18"/>
        <v>5.16E-2</v>
      </c>
      <c r="P34" s="137">
        <f t="shared" si="18"/>
        <v>0.54810000000000003</v>
      </c>
      <c r="Q34" s="138">
        <f t="shared" si="18"/>
        <v>11.471399999999999</v>
      </c>
      <c r="R34" s="137">
        <f t="shared" si="18"/>
        <v>2.3555000000000001</v>
      </c>
      <c r="S34" s="137">
        <f t="shared" si="18"/>
        <v>4.2000000000000003E-2</v>
      </c>
      <c r="T34" s="137">
        <f t="shared" si="18"/>
        <v>6.4762000000000004</v>
      </c>
      <c r="U34" s="137">
        <f t="shared" si="18"/>
        <v>8.3001000000000005</v>
      </c>
      <c r="V34" s="137">
        <f t="shared" si="18"/>
        <v>1.2573000000000001</v>
      </c>
      <c r="W34" s="137">
        <f t="shared" si="11"/>
        <v>0.74459999999999993</v>
      </c>
      <c r="X34" s="132">
        <f t="shared" si="11"/>
        <v>1.6806999999999999</v>
      </c>
      <c r="Y34" s="132">
        <f t="shared" si="11"/>
        <v>3.3954000000000004</v>
      </c>
      <c r="Z34" s="133">
        <f t="shared" si="11"/>
        <v>0.4</v>
      </c>
    </row>
    <row r="35" spans="1:26" ht="15.6" x14ac:dyDescent="0.3">
      <c r="A35" s="90" t="str">
        <f t="shared" si="12"/>
        <v>CORN, WHOLE HAY</v>
      </c>
      <c r="B35" s="80">
        <f t="shared" si="13"/>
        <v>0</v>
      </c>
      <c r="C35" s="165">
        <f t="shared" si="7"/>
        <v>0</v>
      </c>
      <c r="D35" s="166">
        <f t="shared" si="14"/>
        <v>0</v>
      </c>
      <c r="E35" s="137">
        <f t="shared" si="15"/>
        <v>0</v>
      </c>
      <c r="F35" s="137">
        <f t="shared" si="15"/>
        <v>0</v>
      </c>
      <c r="G35" s="137">
        <f t="shared" si="15"/>
        <v>0</v>
      </c>
      <c r="H35" s="137">
        <f t="shared" si="15"/>
        <v>0</v>
      </c>
      <c r="I35" s="137">
        <f t="shared" si="15"/>
        <v>0</v>
      </c>
      <c r="J35" s="137">
        <f t="shared" si="15"/>
        <v>0</v>
      </c>
      <c r="K35" s="165">
        <f t="shared" si="9"/>
        <v>0</v>
      </c>
      <c r="L35" s="165" t="b">
        <f t="shared" si="16"/>
        <v>0</v>
      </c>
      <c r="M35" s="137">
        <f t="shared" ref="M35:V35" si="19">($D35*M10/100)</f>
        <v>0</v>
      </c>
      <c r="N35" s="137">
        <f t="shared" si="19"/>
        <v>0</v>
      </c>
      <c r="O35" s="137">
        <f t="shared" si="19"/>
        <v>0</v>
      </c>
      <c r="P35" s="137">
        <f t="shared" si="19"/>
        <v>0</v>
      </c>
      <c r="Q35" s="138">
        <f t="shared" si="19"/>
        <v>0</v>
      </c>
      <c r="R35" s="137">
        <f t="shared" si="19"/>
        <v>0</v>
      </c>
      <c r="S35" s="137">
        <f t="shared" si="19"/>
        <v>0</v>
      </c>
      <c r="T35" s="137">
        <f t="shared" si="19"/>
        <v>0</v>
      </c>
      <c r="U35" s="137">
        <f t="shared" si="19"/>
        <v>0</v>
      </c>
      <c r="V35" s="137">
        <f t="shared" si="19"/>
        <v>0</v>
      </c>
      <c r="W35" s="137">
        <f t="shared" si="11"/>
        <v>0</v>
      </c>
      <c r="X35" s="132">
        <f t="shared" si="11"/>
        <v>0</v>
      </c>
      <c r="Y35" s="132">
        <f t="shared" si="11"/>
        <v>0</v>
      </c>
      <c r="Z35" s="133">
        <f t="shared" si="11"/>
        <v>0</v>
      </c>
    </row>
    <row r="36" spans="1:26" ht="15.6" x14ac:dyDescent="0.3">
      <c r="A36" s="90" t="str">
        <f t="shared" si="12"/>
        <v>LIMESTONE 38%</v>
      </c>
      <c r="B36" s="80">
        <f t="shared" si="13"/>
        <v>0.5</v>
      </c>
      <c r="C36" s="165">
        <f t="shared" si="7"/>
        <v>2.5100401606425703E-2</v>
      </c>
      <c r="D36" s="166">
        <f t="shared" si="14"/>
        <v>0.5</v>
      </c>
      <c r="E36" s="137">
        <f t="shared" si="15"/>
        <v>0</v>
      </c>
      <c r="F36" s="137">
        <f t="shared" si="15"/>
        <v>0</v>
      </c>
      <c r="G36" s="137">
        <f t="shared" si="15"/>
        <v>0</v>
      </c>
      <c r="H36" s="137">
        <f t="shared" si="15"/>
        <v>4.4999999999999999E-4</v>
      </c>
      <c r="I36" s="137">
        <f t="shared" si="15"/>
        <v>0.19699999999999998</v>
      </c>
      <c r="J36" s="137">
        <f t="shared" si="15"/>
        <v>4.4999999999999999E-4</v>
      </c>
      <c r="K36" s="165">
        <f t="shared" si="9"/>
        <v>2.5100401606425703E-2</v>
      </c>
      <c r="L36" s="165" t="b">
        <f t="shared" si="16"/>
        <v>0</v>
      </c>
      <c r="M36" s="137">
        <f t="shared" ref="M36:V36" si="20">($D36*M11/100)</f>
        <v>8.5000000000000006E-4</v>
      </c>
      <c r="N36" s="137">
        <f t="shared" si="20"/>
        <v>5.0000000000000002E-5</v>
      </c>
      <c r="O36" s="137">
        <f t="shared" si="20"/>
        <v>0</v>
      </c>
      <c r="P36" s="137">
        <f t="shared" si="20"/>
        <v>0.16500000000000001</v>
      </c>
      <c r="Q36" s="138">
        <f t="shared" si="20"/>
        <v>2.71</v>
      </c>
      <c r="R36" s="137">
        <f t="shared" si="20"/>
        <v>1.405</v>
      </c>
      <c r="S36" s="137">
        <f t="shared" si="20"/>
        <v>0</v>
      </c>
      <c r="T36" s="137">
        <f t="shared" si="20"/>
        <v>0.19500000000000001</v>
      </c>
      <c r="U36" s="137">
        <f t="shared" si="20"/>
        <v>0</v>
      </c>
      <c r="V36" s="137">
        <f t="shared" si="20"/>
        <v>0</v>
      </c>
      <c r="W36" s="137">
        <f t="shared" si="11"/>
        <v>0</v>
      </c>
      <c r="X36" s="132">
        <f t="shared" si="11"/>
        <v>0</v>
      </c>
      <c r="Y36" s="132">
        <f t="shared" si="11"/>
        <v>0</v>
      </c>
      <c r="Z36" s="133">
        <f t="shared" si="11"/>
        <v>0</v>
      </c>
    </row>
    <row r="37" spans="1:26" ht="15.6" x14ac:dyDescent="0.3">
      <c r="A37" s="90">
        <f t="shared" si="12"/>
        <v>0</v>
      </c>
      <c r="B37" s="80">
        <f t="shared" si="13"/>
        <v>0</v>
      </c>
      <c r="C37" s="165">
        <f t="shared" si="7"/>
        <v>0</v>
      </c>
      <c r="D37" s="166">
        <f t="shared" si="14"/>
        <v>0</v>
      </c>
      <c r="E37" s="137">
        <f t="shared" si="15"/>
        <v>0</v>
      </c>
      <c r="F37" s="137">
        <f t="shared" si="15"/>
        <v>0</v>
      </c>
      <c r="G37" s="137">
        <f t="shared" si="15"/>
        <v>0</v>
      </c>
      <c r="H37" s="137">
        <f t="shared" si="15"/>
        <v>0</v>
      </c>
      <c r="I37" s="137">
        <f t="shared" si="15"/>
        <v>0</v>
      </c>
      <c r="J37" s="137">
        <f t="shared" si="15"/>
        <v>0</v>
      </c>
      <c r="K37" s="165" t="e">
        <f t="shared" si="9"/>
        <v>#DIV/0!</v>
      </c>
      <c r="L37" s="165" t="b">
        <f t="shared" si="16"/>
        <v>1</v>
      </c>
      <c r="M37" s="137">
        <f t="shared" ref="M37:V37" si="21">($D37*M12/100)</f>
        <v>0</v>
      </c>
      <c r="N37" s="137">
        <f t="shared" si="21"/>
        <v>0</v>
      </c>
      <c r="O37" s="137">
        <f t="shared" si="21"/>
        <v>0</v>
      </c>
      <c r="P37" s="137">
        <f t="shared" si="21"/>
        <v>0</v>
      </c>
      <c r="Q37" s="138">
        <f t="shared" si="21"/>
        <v>0</v>
      </c>
      <c r="R37" s="137">
        <f t="shared" si="21"/>
        <v>0</v>
      </c>
      <c r="S37" s="137">
        <f t="shared" si="21"/>
        <v>0</v>
      </c>
      <c r="T37" s="137">
        <f t="shared" si="21"/>
        <v>0</v>
      </c>
      <c r="U37" s="137">
        <f t="shared" si="21"/>
        <v>0</v>
      </c>
      <c r="V37" s="137">
        <f t="shared" si="21"/>
        <v>0</v>
      </c>
      <c r="W37" s="137">
        <f t="shared" si="11"/>
        <v>0</v>
      </c>
      <c r="X37" s="132">
        <f t="shared" si="11"/>
        <v>0</v>
      </c>
      <c r="Y37" s="132">
        <f t="shared" si="11"/>
        <v>0</v>
      </c>
      <c r="Z37" s="133">
        <f t="shared" si="11"/>
        <v>0</v>
      </c>
    </row>
    <row r="38" spans="1:26" ht="15.6" x14ac:dyDescent="0.3">
      <c r="A38" s="90">
        <f t="shared" si="12"/>
        <v>0</v>
      </c>
      <c r="B38" s="80">
        <f t="shared" si="13"/>
        <v>0</v>
      </c>
      <c r="C38" s="165">
        <f t="shared" si="7"/>
        <v>0</v>
      </c>
      <c r="D38" s="166">
        <f t="shared" si="14"/>
        <v>0</v>
      </c>
      <c r="E38" s="137">
        <f t="shared" si="15"/>
        <v>0</v>
      </c>
      <c r="F38" s="137">
        <f t="shared" si="15"/>
        <v>0</v>
      </c>
      <c r="G38" s="137">
        <f t="shared" si="15"/>
        <v>0</v>
      </c>
      <c r="H38" s="137">
        <f t="shared" si="15"/>
        <v>0</v>
      </c>
      <c r="I38" s="137">
        <f t="shared" si="15"/>
        <v>0</v>
      </c>
      <c r="J38" s="137">
        <f t="shared" si="15"/>
        <v>0</v>
      </c>
      <c r="K38" s="165" t="e">
        <f t="shared" si="9"/>
        <v>#DIV/0!</v>
      </c>
      <c r="L38" s="165" t="b">
        <f t="shared" si="16"/>
        <v>1</v>
      </c>
      <c r="M38" s="137">
        <f t="shared" ref="M38:V38" si="22">($D38*M13/100)</f>
        <v>0</v>
      </c>
      <c r="N38" s="137">
        <f t="shared" si="22"/>
        <v>0</v>
      </c>
      <c r="O38" s="137">
        <f t="shared" si="22"/>
        <v>0</v>
      </c>
      <c r="P38" s="137">
        <f t="shared" si="22"/>
        <v>0</v>
      </c>
      <c r="Q38" s="138">
        <f t="shared" si="22"/>
        <v>0</v>
      </c>
      <c r="R38" s="137">
        <f t="shared" si="22"/>
        <v>0</v>
      </c>
      <c r="S38" s="137">
        <f t="shared" si="22"/>
        <v>0</v>
      </c>
      <c r="T38" s="137">
        <f t="shared" si="22"/>
        <v>0</v>
      </c>
      <c r="U38" s="137">
        <f t="shared" si="22"/>
        <v>0</v>
      </c>
      <c r="V38" s="137">
        <f t="shared" si="22"/>
        <v>0</v>
      </c>
      <c r="W38" s="137">
        <f t="shared" si="11"/>
        <v>0</v>
      </c>
      <c r="X38" s="132">
        <f t="shared" si="11"/>
        <v>0</v>
      </c>
      <c r="Y38" s="132">
        <f t="shared" si="11"/>
        <v>0</v>
      </c>
      <c r="Z38" s="133">
        <f t="shared" si="11"/>
        <v>0</v>
      </c>
    </row>
    <row r="39" spans="1:26" ht="15.6" x14ac:dyDescent="0.3">
      <c r="A39" s="90">
        <f t="shared" si="12"/>
        <v>0</v>
      </c>
      <c r="B39" s="80">
        <f t="shared" si="13"/>
        <v>0</v>
      </c>
      <c r="C39" s="165">
        <f t="shared" si="7"/>
        <v>0</v>
      </c>
      <c r="D39" s="166">
        <f t="shared" si="14"/>
        <v>0</v>
      </c>
      <c r="E39" s="137">
        <f t="shared" si="15"/>
        <v>0</v>
      </c>
      <c r="F39" s="137">
        <f t="shared" si="15"/>
        <v>0</v>
      </c>
      <c r="G39" s="137">
        <f t="shared" si="15"/>
        <v>0</v>
      </c>
      <c r="H39" s="137">
        <f t="shared" si="15"/>
        <v>0</v>
      </c>
      <c r="I39" s="137">
        <f t="shared" si="15"/>
        <v>0</v>
      </c>
      <c r="J39" s="137">
        <f t="shared" si="15"/>
        <v>0</v>
      </c>
      <c r="K39" s="165" t="e">
        <f t="shared" si="9"/>
        <v>#DIV/0!</v>
      </c>
      <c r="L39" s="165" t="b">
        <f t="shared" si="16"/>
        <v>1</v>
      </c>
      <c r="M39" s="137">
        <f t="shared" ref="M39:V39" si="23">($D39*M14/100)</f>
        <v>0</v>
      </c>
      <c r="N39" s="137">
        <f t="shared" si="23"/>
        <v>0</v>
      </c>
      <c r="O39" s="137">
        <f t="shared" si="23"/>
        <v>0</v>
      </c>
      <c r="P39" s="137">
        <f t="shared" si="23"/>
        <v>0</v>
      </c>
      <c r="Q39" s="138">
        <f t="shared" si="23"/>
        <v>0</v>
      </c>
      <c r="R39" s="137">
        <f t="shared" si="23"/>
        <v>0</v>
      </c>
      <c r="S39" s="137">
        <f t="shared" si="23"/>
        <v>0</v>
      </c>
      <c r="T39" s="137">
        <f t="shared" si="23"/>
        <v>0</v>
      </c>
      <c r="U39" s="137">
        <f t="shared" si="23"/>
        <v>0</v>
      </c>
      <c r="V39" s="137">
        <f t="shared" si="23"/>
        <v>0</v>
      </c>
      <c r="W39" s="137">
        <f t="shared" si="11"/>
        <v>0</v>
      </c>
      <c r="X39" s="132">
        <f t="shared" si="11"/>
        <v>0</v>
      </c>
      <c r="Y39" s="132">
        <f t="shared" si="11"/>
        <v>0</v>
      </c>
      <c r="Z39" s="133">
        <f t="shared" si="11"/>
        <v>0</v>
      </c>
    </row>
    <row r="40" spans="1:26" ht="15.6" x14ac:dyDescent="0.3">
      <c r="A40" s="90">
        <f t="shared" si="12"/>
        <v>0</v>
      </c>
      <c r="B40" s="80">
        <f t="shared" si="13"/>
        <v>0</v>
      </c>
      <c r="C40" s="165">
        <f t="shared" si="7"/>
        <v>0</v>
      </c>
      <c r="D40" s="166">
        <f t="shared" si="14"/>
        <v>0</v>
      </c>
      <c r="E40" s="137">
        <f t="shared" si="15"/>
        <v>0</v>
      </c>
      <c r="F40" s="137">
        <f t="shared" si="15"/>
        <v>0</v>
      </c>
      <c r="G40" s="137">
        <f t="shared" si="15"/>
        <v>0</v>
      </c>
      <c r="H40" s="137">
        <f t="shared" si="15"/>
        <v>0</v>
      </c>
      <c r="I40" s="137">
        <f t="shared" si="15"/>
        <v>0</v>
      </c>
      <c r="J40" s="137">
        <f t="shared" si="15"/>
        <v>0</v>
      </c>
      <c r="K40" s="165" t="e">
        <f t="shared" si="9"/>
        <v>#DIV/0!</v>
      </c>
      <c r="L40" s="165" t="b">
        <f t="shared" si="16"/>
        <v>1</v>
      </c>
      <c r="M40" s="137">
        <f t="shared" ref="M40:V40" si="24">($D40*M15/100)</f>
        <v>0</v>
      </c>
      <c r="N40" s="137">
        <f t="shared" si="24"/>
        <v>0</v>
      </c>
      <c r="O40" s="137">
        <f t="shared" si="24"/>
        <v>0</v>
      </c>
      <c r="P40" s="137">
        <f t="shared" si="24"/>
        <v>0</v>
      </c>
      <c r="Q40" s="138">
        <f t="shared" si="24"/>
        <v>0</v>
      </c>
      <c r="R40" s="137">
        <f t="shared" si="24"/>
        <v>0</v>
      </c>
      <c r="S40" s="137">
        <f t="shared" si="24"/>
        <v>0</v>
      </c>
      <c r="T40" s="137">
        <f t="shared" si="24"/>
        <v>0</v>
      </c>
      <c r="U40" s="137">
        <f t="shared" si="24"/>
        <v>0</v>
      </c>
      <c r="V40" s="137">
        <f t="shared" si="24"/>
        <v>0</v>
      </c>
      <c r="W40" s="137">
        <f t="shared" si="11"/>
        <v>0</v>
      </c>
      <c r="X40" s="132">
        <f t="shared" si="11"/>
        <v>0</v>
      </c>
      <c r="Y40" s="132">
        <f t="shared" si="11"/>
        <v>0</v>
      </c>
      <c r="Z40" s="133">
        <f t="shared" si="11"/>
        <v>0</v>
      </c>
    </row>
    <row r="41" spans="1:26" ht="15.6" x14ac:dyDescent="0.3">
      <c r="A41" s="90">
        <f t="shared" si="12"/>
        <v>0</v>
      </c>
      <c r="B41" s="80">
        <f t="shared" si="13"/>
        <v>0</v>
      </c>
      <c r="C41" s="165">
        <f t="shared" si="7"/>
        <v>0</v>
      </c>
      <c r="D41" s="166">
        <f t="shared" si="14"/>
        <v>0</v>
      </c>
      <c r="E41" s="137">
        <f t="shared" si="15"/>
        <v>0</v>
      </c>
      <c r="F41" s="137">
        <f t="shared" si="15"/>
        <v>0</v>
      </c>
      <c r="G41" s="137">
        <f t="shared" si="15"/>
        <v>0</v>
      </c>
      <c r="H41" s="137">
        <f t="shared" si="15"/>
        <v>0</v>
      </c>
      <c r="I41" s="137">
        <f t="shared" si="15"/>
        <v>0</v>
      </c>
      <c r="J41" s="137">
        <f t="shared" si="15"/>
        <v>0</v>
      </c>
      <c r="K41" s="165" t="e">
        <f t="shared" si="9"/>
        <v>#DIV/0!</v>
      </c>
      <c r="L41" s="165" t="b">
        <f t="shared" si="16"/>
        <v>1</v>
      </c>
      <c r="M41" s="137">
        <f t="shared" ref="M41:V41" si="25">($D41*M16/100)</f>
        <v>0</v>
      </c>
      <c r="N41" s="137">
        <f t="shared" si="25"/>
        <v>0</v>
      </c>
      <c r="O41" s="137">
        <f t="shared" si="25"/>
        <v>0</v>
      </c>
      <c r="P41" s="137">
        <f t="shared" si="25"/>
        <v>0</v>
      </c>
      <c r="Q41" s="138">
        <f t="shared" si="25"/>
        <v>0</v>
      </c>
      <c r="R41" s="137">
        <f t="shared" si="25"/>
        <v>0</v>
      </c>
      <c r="S41" s="137">
        <f t="shared" si="25"/>
        <v>0</v>
      </c>
      <c r="T41" s="137">
        <f t="shared" si="25"/>
        <v>0</v>
      </c>
      <c r="U41" s="137">
        <f t="shared" si="25"/>
        <v>0</v>
      </c>
      <c r="V41" s="137">
        <f t="shared" si="25"/>
        <v>0</v>
      </c>
      <c r="W41" s="137">
        <f t="shared" si="11"/>
        <v>0</v>
      </c>
      <c r="X41" s="132">
        <f t="shared" si="11"/>
        <v>0</v>
      </c>
      <c r="Y41" s="132">
        <f t="shared" si="11"/>
        <v>0</v>
      </c>
      <c r="Z41" s="133">
        <f t="shared" si="11"/>
        <v>0</v>
      </c>
    </row>
    <row r="42" spans="1:26" ht="15.6" x14ac:dyDescent="0.3">
      <c r="A42" s="90">
        <f t="shared" si="12"/>
        <v>0</v>
      </c>
      <c r="B42" s="80">
        <f t="shared" si="13"/>
        <v>0</v>
      </c>
      <c r="C42" s="165">
        <f t="shared" si="7"/>
        <v>0</v>
      </c>
      <c r="D42" s="166">
        <f t="shared" si="14"/>
        <v>0</v>
      </c>
      <c r="E42" s="137">
        <f t="shared" si="15"/>
        <v>0</v>
      </c>
      <c r="F42" s="137">
        <f t="shared" si="15"/>
        <v>0</v>
      </c>
      <c r="G42" s="137">
        <f t="shared" si="15"/>
        <v>0</v>
      </c>
      <c r="H42" s="137">
        <f t="shared" si="15"/>
        <v>0</v>
      </c>
      <c r="I42" s="137">
        <f t="shared" si="15"/>
        <v>0</v>
      </c>
      <c r="J42" s="137">
        <f t="shared" si="15"/>
        <v>0</v>
      </c>
      <c r="K42" s="165" t="e">
        <f t="shared" si="9"/>
        <v>#DIV/0!</v>
      </c>
      <c r="L42" s="165" t="b">
        <f t="shared" si="16"/>
        <v>1</v>
      </c>
      <c r="M42" s="137">
        <f t="shared" ref="M42:V42" si="26">($D42*M17/100)</f>
        <v>0</v>
      </c>
      <c r="N42" s="137">
        <f t="shared" si="26"/>
        <v>0</v>
      </c>
      <c r="O42" s="137">
        <f t="shared" si="26"/>
        <v>0</v>
      </c>
      <c r="P42" s="137">
        <f t="shared" si="26"/>
        <v>0</v>
      </c>
      <c r="Q42" s="138">
        <f t="shared" si="26"/>
        <v>0</v>
      </c>
      <c r="R42" s="137">
        <f t="shared" si="26"/>
        <v>0</v>
      </c>
      <c r="S42" s="137">
        <f t="shared" si="26"/>
        <v>0</v>
      </c>
      <c r="T42" s="137">
        <f t="shared" si="26"/>
        <v>0</v>
      </c>
      <c r="U42" s="137">
        <f t="shared" si="26"/>
        <v>0</v>
      </c>
      <c r="V42" s="137">
        <f t="shared" si="26"/>
        <v>0</v>
      </c>
      <c r="W42" s="137">
        <f t="shared" si="11"/>
        <v>0</v>
      </c>
      <c r="X42" s="132">
        <f t="shared" si="11"/>
        <v>0</v>
      </c>
      <c r="Y42" s="132">
        <f t="shared" si="11"/>
        <v>0</v>
      </c>
      <c r="Z42" s="133">
        <f t="shared" si="11"/>
        <v>0</v>
      </c>
    </row>
    <row r="43" spans="1:26" ht="15.6" x14ac:dyDescent="0.3">
      <c r="A43" s="90">
        <f t="shared" si="12"/>
        <v>0</v>
      </c>
      <c r="B43" s="80">
        <f t="shared" si="13"/>
        <v>0</v>
      </c>
      <c r="C43" s="165">
        <f t="shared" si="7"/>
        <v>0</v>
      </c>
      <c r="D43" s="166">
        <f t="shared" si="14"/>
        <v>0</v>
      </c>
      <c r="E43" s="137">
        <f t="shared" ref="E43:J49" si="27">($D43*E18/100)</f>
        <v>0</v>
      </c>
      <c r="F43" s="137">
        <f t="shared" si="27"/>
        <v>0</v>
      </c>
      <c r="G43" s="137">
        <f t="shared" si="27"/>
        <v>0</v>
      </c>
      <c r="H43" s="137">
        <f t="shared" si="27"/>
        <v>0</v>
      </c>
      <c r="I43" s="137">
        <f t="shared" si="27"/>
        <v>0</v>
      </c>
      <c r="J43" s="137">
        <f t="shared" si="27"/>
        <v>0</v>
      </c>
      <c r="K43" s="165" t="e">
        <f t="shared" si="9"/>
        <v>#DIV/0!</v>
      </c>
      <c r="L43" s="165" t="b">
        <f t="shared" si="16"/>
        <v>1</v>
      </c>
      <c r="M43" s="137">
        <f t="shared" ref="M43:V43" si="28">($D43*M18/100)</f>
        <v>0</v>
      </c>
      <c r="N43" s="137">
        <f t="shared" si="28"/>
        <v>0</v>
      </c>
      <c r="O43" s="137">
        <f t="shared" si="28"/>
        <v>0</v>
      </c>
      <c r="P43" s="137">
        <f t="shared" si="28"/>
        <v>0</v>
      </c>
      <c r="Q43" s="138">
        <f t="shared" si="28"/>
        <v>0</v>
      </c>
      <c r="R43" s="137">
        <f t="shared" si="28"/>
        <v>0</v>
      </c>
      <c r="S43" s="137">
        <f t="shared" si="28"/>
        <v>0</v>
      </c>
      <c r="T43" s="137">
        <f t="shared" si="28"/>
        <v>0</v>
      </c>
      <c r="U43" s="137">
        <f t="shared" si="28"/>
        <v>0</v>
      </c>
      <c r="V43" s="137">
        <f t="shared" si="28"/>
        <v>0</v>
      </c>
      <c r="W43" s="137">
        <f t="shared" si="11"/>
        <v>0</v>
      </c>
      <c r="X43" s="132">
        <f t="shared" si="11"/>
        <v>0</v>
      </c>
      <c r="Y43" s="132">
        <f t="shared" si="11"/>
        <v>0</v>
      </c>
      <c r="Z43" s="133">
        <f t="shared" si="11"/>
        <v>0</v>
      </c>
    </row>
    <row r="44" spans="1:26" ht="15.6" x14ac:dyDescent="0.3">
      <c r="A44" s="90">
        <f t="shared" si="12"/>
        <v>0</v>
      </c>
      <c r="B44" s="80">
        <f t="shared" si="13"/>
        <v>0</v>
      </c>
      <c r="C44" s="165">
        <f t="shared" si="7"/>
        <v>0</v>
      </c>
      <c r="D44" s="166">
        <f t="shared" si="14"/>
        <v>0</v>
      </c>
      <c r="E44" s="137">
        <f t="shared" si="27"/>
        <v>0</v>
      </c>
      <c r="F44" s="137">
        <f t="shared" si="27"/>
        <v>0</v>
      </c>
      <c r="G44" s="137">
        <f t="shared" si="27"/>
        <v>0</v>
      </c>
      <c r="H44" s="137">
        <f t="shared" si="27"/>
        <v>0</v>
      </c>
      <c r="I44" s="137">
        <f t="shared" si="27"/>
        <v>0</v>
      </c>
      <c r="J44" s="137">
        <f t="shared" si="27"/>
        <v>0</v>
      </c>
      <c r="K44" s="165" t="e">
        <f t="shared" si="9"/>
        <v>#DIV/0!</v>
      </c>
      <c r="L44" s="165" t="b">
        <f t="shared" si="16"/>
        <v>1</v>
      </c>
      <c r="M44" s="137">
        <f t="shared" ref="M44:V44" si="29">($D44*M19/100)</f>
        <v>0</v>
      </c>
      <c r="N44" s="137">
        <f t="shared" si="29"/>
        <v>0</v>
      </c>
      <c r="O44" s="137">
        <f t="shared" si="29"/>
        <v>0</v>
      </c>
      <c r="P44" s="137">
        <f t="shared" si="29"/>
        <v>0</v>
      </c>
      <c r="Q44" s="138">
        <f t="shared" si="29"/>
        <v>0</v>
      </c>
      <c r="R44" s="137">
        <f t="shared" si="29"/>
        <v>0</v>
      </c>
      <c r="S44" s="137">
        <f t="shared" si="29"/>
        <v>0</v>
      </c>
      <c r="T44" s="137">
        <f t="shared" si="29"/>
        <v>0</v>
      </c>
      <c r="U44" s="137">
        <f t="shared" si="29"/>
        <v>0</v>
      </c>
      <c r="V44" s="137">
        <f t="shared" si="29"/>
        <v>0</v>
      </c>
      <c r="W44" s="137">
        <f t="shared" si="11"/>
        <v>0</v>
      </c>
      <c r="X44" s="132">
        <f t="shared" si="11"/>
        <v>0</v>
      </c>
      <c r="Y44" s="132">
        <f t="shared" si="11"/>
        <v>0</v>
      </c>
      <c r="Z44" s="133">
        <f t="shared" si="11"/>
        <v>0</v>
      </c>
    </row>
    <row r="45" spans="1:26" ht="15.6" x14ac:dyDescent="0.3">
      <c r="A45" s="90">
        <f t="shared" si="12"/>
        <v>0</v>
      </c>
      <c r="B45" s="80">
        <f t="shared" si="13"/>
        <v>0</v>
      </c>
      <c r="C45" s="165">
        <f t="shared" si="7"/>
        <v>0</v>
      </c>
      <c r="D45" s="166">
        <f t="shared" si="14"/>
        <v>0</v>
      </c>
      <c r="E45" s="137">
        <f t="shared" si="27"/>
        <v>0</v>
      </c>
      <c r="F45" s="137">
        <f t="shared" si="27"/>
        <v>0</v>
      </c>
      <c r="G45" s="137">
        <f t="shared" si="27"/>
        <v>0</v>
      </c>
      <c r="H45" s="137">
        <f t="shared" si="27"/>
        <v>0</v>
      </c>
      <c r="I45" s="137">
        <f t="shared" si="27"/>
        <v>0</v>
      </c>
      <c r="J45" s="137">
        <f t="shared" si="27"/>
        <v>0</v>
      </c>
      <c r="K45" s="165" t="e">
        <f t="shared" si="9"/>
        <v>#DIV/0!</v>
      </c>
      <c r="L45" s="165" t="b">
        <f t="shared" si="16"/>
        <v>1</v>
      </c>
      <c r="M45" s="137">
        <f t="shared" ref="M45:V45" si="30">($D45*M20/100)</f>
        <v>0</v>
      </c>
      <c r="N45" s="137">
        <f t="shared" si="30"/>
        <v>0</v>
      </c>
      <c r="O45" s="137">
        <f t="shared" si="30"/>
        <v>0</v>
      </c>
      <c r="P45" s="137">
        <f t="shared" si="30"/>
        <v>0</v>
      </c>
      <c r="Q45" s="138">
        <f t="shared" si="30"/>
        <v>0</v>
      </c>
      <c r="R45" s="137">
        <f t="shared" si="30"/>
        <v>0</v>
      </c>
      <c r="S45" s="137">
        <f t="shared" si="30"/>
        <v>0</v>
      </c>
      <c r="T45" s="137">
        <f t="shared" si="30"/>
        <v>0</v>
      </c>
      <c r="U45" s="137">
        <f t="shared" si="30"/>
        <v>0</v>
      </c>
      <c r="V45" s="137">
        <f t="shared" si="30"/>
        <v>0</v>
      </c>
      <c r="W45" s="137">
        <f t="shared" si="11"/>
        <v>0</v>
      </c>
      <c r="X45" s="132">
        <f t="shared" si="11"/>
        <v>0</v>
      </c>
      <c r="Y45" s="132">
        <f t="shared" si="11"/>
        <v>0</v>
      </c>
      <c r="Z45" s="133">
        <f t="shared" si="11"/>
        <v>0</v>
      </c>
    </row>
    <row r="46" spans="1:26" ht="15.6" x14ac:dyDescent="0.3">
      <c r="A46" s="90">
        <f t="shared" si="12"/>
        <v>0</v>
      </c>
      <c r="B46" s="80">
        <f t="shared" si="13"/>
        <v>0</v>
      </c>
      <c r="C46" s="165">
        <f t="shared" si="7"/>
        <v>0</v>
      </c>
      <c r="D46" s="166">
        <f t="shared" si="14"/>
        <v>0</v>
      </c>
      <c r="E46" s="137">
        <f t="shared" si="27"/>
        <v>0</v>
      </c>
      <c r="F46" s="137">
        <f t="shared" si="27"/>
        <v>0</v>
      </c>
      <c r="G46" s="137">
        <f t="shared" si="27"/>
        <v>0</v>
      </c>
      <c r="H46" s="137">
        <f t="shared" si="27"/>
        <v>0</v>
      </c>
      <c r="I46" s="137">
        <f t="shared" si="27"/>
        <v>0</v>
      </c>
      <c r="J46" s="137">
        <f t="shared" si="27"/>
        <v>0</v>
      </c>
      <c r="K46" s="165" t="e">
        <f t="shared" si="9"/>
        <v>#DIV/0!</v>
      </c>
      <c r="L46" s="165" t="b">
        <f t="shared" si="16"/>
        <v>1</v>
      </c>
      <c r="M46" s="137">
        <f t="shared" ref="M46:V46" si="31">($D46*M21/100)</f>
        <v>0</v>
      </c>
      <c r="N46" s="137">
        <f t="shared" si="31"/>
        <v>0</v>
      </c>
      <c r="O46" s="137">
        <f t="shared" si="31"/>
        <v>0</v>
      </c>
      <c r="P46" s="137">
        <f t="shared" si="31"/>
        <v>0</v>
      </c>
      <c r="Q46" s="138">
        <f t="shared" si="31"/>
        <v>0</v>
      </c>
      <c r="R46" s="137">
        <f t="shared" si="31"/>
        <v>0</v>
      </c>
      <c r="S46" s="137">
        <f t="shared" si="31"/>
        <v>0</v>
      </c>
      <c r="T46" s="137">
        <f t="shared" si="31"/>
        <v>0</v>
      </c>
      <c r="U46" s="137">
        <f t="shared" si="31"/>
        <v>0</v>
      </c>
      <c r="V46" s="137">
        <f t="shared" si="31"/>
        <v>0</v>
      </c>
      <c r="W46" s="137">
        <f t="shared" si="11"/>
        <v>0</v>
      </c>
      <c r="X46" s="132">
        <f t="shared" si="11"/>
        <v>0</v>
      </c>
      <c r="Y46" s="132">
        <f t="shared" si="11"/>
        <v>0</v>
      </c>
      <c r="Z46" s="133">
        <f t="shared" si="11"/>
        <v>0</v>
      </c>
    </row>
    <row r="47" spans="1:26" ht="15.6" x14ac:dyDescent="0.3">
      <c r="A47" s="90">
        <f t="shared" si="12"/>
        <v>0</v>
      </c>
      <c r="B47" s="80">
        <f t="shared" si="13"/>
        <v>0</v>
      </c>
      <c r="C47" s="165">
        <f t="shared" si="7"/>
        <v>0</v>
      </c>
      <c r="D47" s="166">
        <f t="shared" si="14"/>
        <v>0</v>
      </c>
      <c r="E47" s="137">
        <f t="shared" si="27"/>
        <v>0</v>
      </c>
      <c r="F47" s="137">
        <f t="shared" si="27"/>
        <v>0</v>
      </c>
      <c r="G47" s="137">
        <f t="shared" si="27"/>
        <v>0</v>
      </c>
      <c r="H47" s="137">
        <f t="shared" si="27"/>
        <v>0</v>
      </c>
      <c r="I47" s="137">
        <f t="shared" si="27"/>
        <v>0</v>
      </c>
      <c r="J47" s="137">
        <f t="shared" si="27"/>
        <v>0</v>
      </c>
      <c r="K47" s="165" t="e">
        <f t="shared" si="9"/>
        <v>#DIV/0!</v>
      </c>
      <c r="L47" s="165" t="b">
        <f t="shared" si="16"/>
        <v>1</v>
      </c>
      <c r="M47" s="137">
        <f t="shared" ref="M47:V47" si="32">($D47*M22/100)</f>
        <v>0</v>
      </c>
      <c r="N47" s="137">
        <f t="shared" si="32"/>
        <v>0</v>
      </c>
      <c r="O47" s="137">
        <f t="shared" si="32"/>
        <v>0</v>
      </c>
      <c r="P47" s="137">
        <f t="shared" si="32"/>
        <v>0</v>
      </c>
      <c r="Q47" s="138">
        <f t="shared" si="32"/>
        <v>0</v>
      </c>
      <c r="R47" s="137">
        <f t="shared" si="32"/>
        <v>0</v>
      </c>
      <c r="S47" s="137">
        <f t="shared" si="32"/>
        <v>0</v>
      </c>
      <c r="T47" s="137">
        <f t="shared" si="32"/>
        <v>0</v>
      </c>
      <c r="U47" s="137">
        <f t="shared" si="32"/>
        <v>0</v>
      </c>
      <c r="V47" s="137">
        <f t="shared" si="32"/>
        <v>0</v>
      </c>
      <c r="W47" s="137">
        <f t="shared" si="11"/>
        <v>0</v>
      </c>
      <c r="X47" s="132">
        <f t="shared" si="11"/>
        <v>0</v>
      </c>
      <c r="Y47" s="132">
        <f t="shared" si="11"/>
        <v>0</v>
      </c>
      <c r="Z47" s="133">
        <f t="shared" si="11"/>
        <v>0</v>
      </c>
    </row>
    <row r="48" spans="1:26" ht="15.6" x14ac:dyDescent="0.3">
      <c r="A48" s="90">
        <f t="shared" si="12"/>
        <v>0</v>
      </c>
      <c r="B48" s="167">
        <f t="shared" si="13"/>
        <v>0</v>
      </c>
      <c r="C48" s="165">
        <f t="shared" si="7"/>
        <v>0</v>
      </c>
      <c r="D48" s="166">
        <f t="shared" si="14"/>
        <v>0</v>
      </c>
      <c r="E48" s="137">
        <f t="shared" si="27"/>
        <v>0</v>
      </c>
      <c r="F48" s="137">
        <f t="shared" si="27"/>
        <v>0</v>
      </c>
      <c r="G48" s="137">
        <f t="shared" si="27"/>
        <v>0</v>
      </c>
      <c r="H48" s="137">
        <f t="shared" si="27"/>
        <v>0</v>
      </c>
      <c r="I48" s="137">
        <f t="shared" si="27"/>
        <v>0</v>
      </c>
      <c r="J48" s="137">
        <f t="shared" si="27"/>
        <v>0</v>
      </c>
      <c r="K48" s="165" t="e">
        <f t="shared" si="9"/>
        <v>#DIV/0!</v>
      </c>
      <c r="L48" s="165" t="b">
        <f t="shared" si="16"/>
        <v>1</v>
      </c>
      <c r="M48" s="137">
        <f t="shared" ref="M48:V48" si="33">($D48*M23/100)</f>
        <v>0</v>
      </c>
      <c r="N48" s="137">
        <f t="shared" si="33"/>
        <v>0</v>
      </c>
      <c r="O48" s="137">
        <f t="shared" si="33"/>
        <v>0</v>
      </c>
      <c r="P48" s="137">
        <f t="shared" si="33"/>
        <v>0</v>
      </c>
      <c r="Q48" s="138">
        <f t="shared" si="33"/>
        <v>0</v>
      </c>
      <c r="R48" s="137">
        <f t="shared" si="33"/>
        <v>0</v>
      </c>
      <c r="S48" s="137">
        <f t="shared" si="33"/>
        <v>0</v>
      </c>
      <c r="T48" s="137">
        <f t="shared" si="33"/>
        <v>0</v>
      </c>
      <c r="U48" s="137">
        <f t="shared" si="33"/>
        <v>0</v>
      </c>
      <c r="V48" s="137">
        <f t="shared" si="33"/>
        <v>0</v>
      </c>
      <c r="W48" s="137">
        <f t="shared" si="11"/>
        <v>0</v>
      </c>
      <c r="X48" s="132">
        <f t="shared" si="11"/>
        <v>0</v>
      </c>
      <c r="Y48" s="132">
        <f t="shared" si="11"/>
        <v>0</v>
      </c>
      <c r="Z48" s="133">
        <f t="shared" si="11"/>
        <v>0</v>
      </c>
    </row>
    <row r="49" spans="1:26" ht="15.6" x14ac:dyDescent="0.3">
      <c r="A49" s="90">
        <f t="shared" si="12"/>
        <v>0</v>
      </c>
      <c r="B49" s="167">
        <f t="shared" si="13"/>
        <v>0</v>
      </c>
      <c r="C49" s="165">
        <f t="shared" si="7"/>
        <v>0</v>
      </c>
      <c r="D49" s="166">
        <f t="shared" si="14"/>
        <v>0</v>
      </c>
      <c r="E49" s="137">
        <f t="shared" si="27"/>
        <v>0</v>
      </c>
      <c r="F49" s="137">
        <f t="shared" si="27"/>
        <v>0</v>
      </c>
      <c r="G49" s="137">
        <f t="shared" si="27"/>
        <v>0</v>
      </c>
      <c r="H49" s="137">
        <f t="shared" si="27"/>
        <v>0</v>
      </c>
      <c r="I49" s="137">
        <f t="shared" si="27"/>
        <v>0</v>
      </c>
      <c r="J49" s="137">
        <f t="shared" si="27"/>
        <v>0</v>
      </c>
      <c r="K49" s="165" t="e">
        <f t="shared" si="9"/>
        <v>#DIV/0!</v>
      </c>
      <c r="L49" s="165" t="b">
        <f t="shared" si="16"/>
        <v>1</v>
      </c>
      <c r="M49" s="137">
        <f t="shared" ref="M49:Z49" si="34">($D49*M24/100)</f>
        <v>0</v>
      </c>
      <c r="N49" s="137">
        <f t="shared" si="34"/>
        <v>0</v>
      </c>
      <c r="O49" s="137">
        <f t="shared" si="34"/>
        <v>0</v>
      </c>
      <c r="P49" s="137">
        <f t="shared" si="34"/>
        <v>0</v>
      </c>
      <c r="Q49" s="138">
        <f t="shared" si="34"/>
        <v>0</v>
      </c>
      <c r="R49" s="137">
        <f t="shared" si="34"/>
        <v>0</v>
      </c>
      <c r="S49" s="137">
        <f t="shared" si="34"/>
        <v>0</v>
      </c>
      <c r="T49" s="137">
        <f t="shared" si="34"/>
        <v>0</v>
      </c>
      <c r="U49" s="137">
        <f t="shared" si="34"/>
        <v>0</v>
      </c>
      <c r="V49" s="137">
        <f t="shared" si="34"/>
        <v>0</v>
      </c>
      <c r="W49" s="137">
        <f t="shared" si="34"/>
        <v>0</v>
      </c>
      <c r="X49" s="132">
        <f t="shared" si="34"/>
        <v>0</v>
      </c>
      <c r="Y49" s="132">
        <f t="shared" si="34"/>
        <v>0</v>
      </c>
      <c r="Z49" s="133">
        <f t="shared" si="34"/>
        <v>0</v>
      </c>
    </row>
    <row r="50" spans="1:26" ht="15.6" x14ac:dyDescent="0.3">
      <c r="A50" s="90">
        <f t="shared" si="12"/>
        <v>0</v>
      </c>
      <c r="B50" s="167">
        <f t="shared" si="13"/>
        <v>0</v>
      </c>
      <c r="C50" s="165">
        <f t="shared" si="7"/>
        <v>0</v>
      </c>
      <c r="D50" s="166">
        <f t="shared" si="14"/>
        <v>0</v>
      </c>
      <c r="E50" s="137">
        <f t="shared" ref="E50:J50" si="35">($D50*E25/100)</f>
        <v>0</v>
      </c>
      <c r="F50" s="137">
        <f t="shared" si="35"/>
        <v>0</v>
      </c>
      <c r="G50" s="137">
        <f t="shared" si="35"/>
        <v>0</v>
      </c>
      <c r="H50" s="137">
        <f t="shared" si="35"/>
        <v>0</v>
      </c>
      <c r="I50" s="137">
        <f t="shared" si="35"/>
        <v>0</v>
      </c>
      <c r="J50" s="137">
        <f t="shared" si="35"/>
        <v>0</v>
      </c>
      <c r="K50" s="165" t="e">
        <f t="shared" si="9"/>
        <v>#DIV/0!</v>
      </c>
      <c r="L50" s="165" t="b">
        <f t="shared" si="16"/>
        <v>1</v>
      </c>
      <c r="M50" s="137">
        <f t="shared" ref="M50:Z50" si="36">($D50*M25/100)</f>
        <v>0</v>
      </c>
      <c r="N50" s="137">
        <f t="shared" si="36"/>
        <v>0</v>
      </c>
      <c r="O50" s="137">
        <f t="shared" si="36"/>
        <v>0</v>
      </c>
      <c r="P50" s="137">
        <f t="shared" si="36"/>
        <v>0</v>
      </c>
      <c r="Q50" s="138">
        <f t="shared" si="36"/>
        <v>0</v>
      </c>
      <c r="R50" s="137">
        <f t="shared" si="36"/>
        <v>0</v>
      </c>
      <c r="S50" s="137">
        <f t="shared" si="36"/>
        <v>0</v>
      </c>
      <c r="T50" s="137">
        <f t="shared" si="36"/>
        <v>0</v>
      </c>
      <c r="U50" s="137">
        <f t="shared" si="36"/>
        <v>0</v>
      </c>
      <c r="V50" s="137">
        <f t="shared" si="36"/>
        <v>0</v>
      </c>
      <c r="W50" s="137">
        <f t="shared" si="36"/>
        <v>0</v>
      </c>
      <c r="X50" s="132">
        <f t="shared" si="36"/>
        <v>0</v>
      </c>
      <c r="Y50" s="132">
        <f t="shared" si="36"/>
        <v>0</v>
      </c>
      <c r="Z50" s="133">
        <f t="shared" si="36"/>
        <v>0</v>
      </c>
    </row>
    <row r="51" spans="1:26" ht="15.6" x14ac:dyDescent="0.3">
      <c r="A51" s="141">
        <f t="shared" si="12"/>
        <v>0</v>
      </c>
      <c r="B51" s="168">
        <f t="shared" si="13"/>
        <v>0</v>
      </c>
      <c r="C51" s="169">
        <f t="shared" si="7"/>
        <v>0</v>
      </c>
      <c r="D51" s="170">
        <f t="shared" si="14"/>
        <v>0</v>
      </c>
      <c r="E51" s="146">
        <f t="shared" ref="E51:J51" si="37">($D51*E26/100)</f>
        <v>0</v>
      </c>
      <c r="F51" s="146">
        <f t="shared" si="37"/>
        <v>0</v>
      </c>
      <c r="G51" s="146">
        <f t="shared" si="37"/>
        <v>0</v>
      </c>
      <c r="H51" s="146">
        <f t="shared" si="37"/>
        <v>0</v>
      </c>
      <c r="I51" s="146">
        <f t="shared" si="37"/>
        <v>0</v>
      </c>
      <c r="J51" s="146">
        <f t="shared" si="37"/>
        <v>0</v>
      </c>
      <c r="K51" s="165" t="e">
        <f t="shared" si="9"/>
        <v>#DIV/0!</v>
      </c>
      <c r="L51" s="165" t="b">
        <f t="shared" si="16"/>
        <v>1</v>
      </c>
      <c r="M51" s="146">
        <f t="shared" ref="M51:Z51" si="38">($D51*M26/100)</f>
        <v>0</v>
      </c>
      <c r="N51" s="146">
        <f t="shared" si="38"/>
        <v>0</v>
      </c>
      <c r="O51" s="146">
        <f t="shared" si="38"/>
        <v>0</v>
      </c>
      <c r="P51" s="146">
        <f t="shared" si="38"/>
        <v>0</v>
      </c>
      <c r="Q51" s="147">
        <f t="shared" si="38"/>
        <v>0</v>
      </c>
      <c r="R51" s="146">
        <f t="shared" si="38"/>
        <v>0</v>
      </c>
      <c r="S51" s="146">
        <f t="shared" si="38"/>
        <v>0</v>
      </c>
      <c r="T51" s="146">
        <f t="shared" si="38"/>
        <v>0</v>
      </c>
      <c r="U51" s="146">
        <f t="shared" si="38"/>
        <v>0</v>
      </c>
      <c r="V51" s="146">
        <f t="shared" si="38"/>
        <v>0</v>
      </c>
      <c r="W51" s="146">
        <f t="shared" si="38"/>
        <v>0</v>
      </c>
      <c r="X51" s="150">
        <f t="shared" si="38"/>
        <v>0</v>
      </c>
      <c r="Y51" s="150">
        <f t="shared" si="38"/>
        <v>0</v>
      </c>
      <c r="Z51" s="151">
        <f t="shared" si="38"/>
        <v>0</v>
      </c>
    </row>
    <row r="52" spans="1:26" ht="18" customHeight="1" x14ac:dyDescent="0.3">
      <c r="A52" s="35" t="s">
        <v>126</v>
      </c>
      <c r="B52" s="35"/>
      <c r="C52" s="171">
        <f>K52</f>
        <v>6.5901996493407031</v>
      </c>
      <c r="D52" s="110">
        <f>SUM(D32:D51)</f>
        <v>100</v>
      </c>
      <c r="E52" s="80">
        <f t="shared" ref="E52:J52" si="39">SUM(E32:E51)</f>
        <v>55.475000000000001</v>
      </c>
      <c r="F52" s="80">
        <f t="shared" si="39"/>
        <v>29.662000000000003</v>
      </c>
      <c r="G52" s="80">
        <f t="shared" si="39"/>
        <v>12.88523</v>
      </c>
      <c r="H52" s="80">
        <f t="shared" si="39"/>
        <v>1.7906350000000002</v>
      </c>
      <c r="I52" s="80">
        <f t="shared" si="39"/>
        <v>0.66622499999999996</v>
      </c>
      <c r="J52" s="80">
        <f t="shared" si="39"/>
        <v>0.30335000000000001</v>
      </c>
      <c r="K52" s="171">
        <f>SUM(C32:C51)</f>
        <v>6.5901996493407031</v>
      </c>
      <c r="L52" s="171"/>
      <c r="M52" s="85">
        <f t="shared" ref="M52:Z52" si="40">SUM(M32:M51)</f>
        <v>0.21642499999999998</v>
      </c>
      <c r="N52" s="85">
        <f t="shared" si="40"/>
        <v>0.21947999999999998</v>
      </c>
      <c r="O52" s="85">
        <f t="shared" si="40"/>
        <v>0.84456999999999993</v>
      </c>
      <c r="P52" s="85">
        <f t="shared" si="40"/>
        <v>8.7063449999999989</v>
      </c>
      <c r="Q52" s="156">
        <f t="shared" si="40"/>
        <v>179.86469499999998</v>
      </c>
      <c r="R52" s="85">
        <f t="shared" si="40"/>
        <v>70.838065000000014</v>
      </c>
      <c r="S52" s="154">
        <f t="shared" si="40"/>
        <v>4.2000000000000003E-2</v>
      </c>
      <c r="T52" s="85">
        <f t="shared" si="40"/>
        <v>38.134030000000003</v>
      </c>
      <c r="U52" s="80">
        <f t="shared" si="40"/>
        <v>59.669519999999999</v>
      </c>
      <c r="V52" s="80">
        <f t="shared" si="40"/>
        <v>3.5010650000000005</v>
      </c>
      <c r="W52" s="80">
        <f t="shared" si="40"/>
        <v>28.848494999999996</v>
      </c>
      <c r="X52" s="160">
        <f t="shared" si="40"/>
        <v>36.564219999999999</v>
      </c>
      <c r="Y52" s="160">
        <f t="shared" si="40"/>
        <v>59.762500000000003</v>
      </c>
      <c r="Z52" s="160">
        <f t="shared" si="40"/>
        <v>0.4</v>
      </c>
    </row>
    <row r="53" spans="1:26" ht="1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5" x14ac:dyDescent="0.25">
      <c r="A54" s="88" t="s">
        <v>143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5" x14ac:dyDescent="0.25">
      <c r="A55" s="88" t="s">
        <v>420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idden="1" x14ac:dyDescent="0.25"/>
    <row r="57" spans="1:26" hidden="1" x14ac:dyDescent="0.25"/>
    <row r="58" spans="1:26" hidden="1" x14ac:dyDescent="0.25"/>
    <row r="59" spans="1:26" hidden="1" x14ac:dyDescent="0.25"/>
    <row r="60" spans="1:26" hidden="1" x14ac:dyDescent="0.25"/>
    <row r="61" spans="1:26" hidden="1" x14ac:dyDescent="0.25"/>
    <row r="62" spans="1:26" hidden="1" x14ac:dyDescent="0.25"/>
    <row r="63" spans="1:26" hidden="1" x14ac:dyDescent="0.25"/>
    <row r="64" spans="1:2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032" sheet="1" objects="1" scenarios="1"/>
  <mergeCells count="5">
    <mergeCell ref="E5:Z5"/>
    <mergeCell ref="A1:Z1"/>
    <mergeCell ref="E30:Z30"/>
    <mergeCell ref="A3:Z3"/>
    <mergeCell ref="A29:Z29"/>
  </mergeCells>
  <phoneticPr fontId="0" type="noConversion"/>
  <conditionalFormatting sqref="G27">
    <cfRule type="expression" dxfId="0" priority="1" stopIfTrue="1">
      <formula>"AC19"</formula>
    </cfRule>
  </conditionalFormatting>
  <pageMargins left="0.66" right="0.36" top="0.56999999999999995" bottom="0.55000000000000004" header="0.5" footer="0.5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FORMULATION</vt:lpstr>
      <vt:lpstr>FEED LIST</vt:lpstr>
      <vt:lpstr>MIXING SHEET</vt:lpstr>
      <vt:lpstr>NUTRIENTS</vt:lpstr>
      <vt:lpstr>\e</vt:lpstr>
      <vt:lpstr>\f</vt:lpstr>
      <vt:lpstr>\s</vt:lpstr>
      <vt:lpstr>\z</vt:lpstr>
      <vt:lpstr>FEEDS</vt:lpstr>
      <vt:lpstr>'FEED LIST'!Print_Area</vt:lpstr>
      <vt:lpstr>FORMULATION!Print_Area</vt:lpstr>
      <vt:lpstr>'MIXING SHEET'!Print_Area</vt:lpstr>
      <vt:lpstr>NUTRIENTS!Print_Area</vt:lpstr>
      <vt:lpstr>FORMULATION!Print_Area_MI</vt:lpstr>
      <vt:lpstr>'FEED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ration program</dc:title>
  <dc:creator>Animal Science Dept.</dc:creator>
  <cp:lastModifiedBy>Thomison, Julianne</cp:lastModifiedBy>
  <cp:lastPrinted>2013-04-03T22:31:52Z</cp:lastPrinted>
  <dcterms:created xsi:type="dcterms:W3CDTF">1999-05-04T21:40:11Z</dcterms:created>
  <dcterms:modified xsi:type="dcterms:W3CDTF">2021-09-13T14:37:38Z</dcterms:modified>
</cp:coreProperties>
</file>