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bookViews>
    <workbookView xWindow="0" yWindow="0" windowWidth="23040" windowHeight="9192" activeTab="0"/>
  </bookViews>
  <sheets>
    <sheet name="Bull Cost per Cow" sheetId="3" r:id="rId1"/>
    <sheet name="Sheet1" sheetId="4" r:id="rId2"/>
  </sheets>
  <definedNames>
    <definedName name="_xlnm.Print_Area" localSheetId="0">'Bull Cost per Cow'!$A$1:$I$58</definedName>
  </definedNames>
  <calcPr calcId="162913"/>
</workbook>
</file>

<file path=xl/comments1.xml><?xml version="1.0" encoding="utf-8"?>
<comments xmlns="http://schemas.openxmlformats.org/spreadsheetml/2006/main">
  <authors>
    <author>Roger Sahs</author>
    <author>Michael J. Kelly</author>
  </authors>
  <commentList>
    <comment ref="C10" authorId="0">
      <text>
        <r>
          <rPr>
            <sz val="11"/>
            <rFont val="Tahoma"/>
            <family val="2"/>
          </rPr>
          <t>Purchase price plus salvage value divided by two.</t>
        </r>
        <r>
          <rPr>
            <sz val="8"/>
            <rFont val="Tahoma"/>
            <family val="2"/>
          </rPr>
          <t xml:space="preserve">
</t>
        </r>
      </text>
    </comment>
    <comment ref="E28" authorId="1">
      <text>
        <r>
          <rPr>
            <sz val="11"/>
            <rFont val="Tahoma"/>
            <family val="2"/>
          </rPr>
          <t>Salvage value minus purchase price divided by useful life.</t>
        </r>
      </text>
    </comment>
    <comment ref="E46" authorId="1">
      <text>
        <r>
          <rPr>
            <sz val="11"/>
            <rFont val="Tahoma"/>
            <family val="2"/>
          </rPr>
          <t>See the number of cows serviced per bull above.</t>
        </r>
      </text>
    </comment>
    <comment ref="F46" authorId="1">
      <text>
        <r>
          <rPr>
            <sz val="11"/>
            <rFont val="Tahoma"/>
            <family val="2"/>
          </rPr>
          <t>See the production per exposed female above that is used as the divisor.</t>
        </r>
        <r>
          <rPr>
            <sz val="8"/>
            <rFont val="Tahoma"/>
            <family val="2"/>
          </rPr>
          <t xml:space="preserve"> </t>
        </r>
      </text>
    </comment>
    <comment ref="G46" authorId="1">
      <text>
        <r>
          <rPr>
            <sz val="11"/>
            <rFont val="Tahoma"/>
            <family val="2"/>
          </rPr>
          <t xml:space="preserve">Change in cost per cow given the change in bull purchase costs.
</t>
        </r>
      </text>
    </comment>
    <comment ref="H46" authorId="1">
      <text>
        <r>
          <rPr>
            <sz val="11"/>
            <rFont val="Tahoma"/>
            <family val="2"/>
          </rPr>
          <t xml:space="preserve">The required change in  weaned calf weight necessary to cover the added cost - price held constant. 
</t>
        </r>
      </text>
    </comment>
  </commentList>
</comments>
</file>

<file path=xl/sharedStrings.xml><?xml version="1.0" encoding="utf-8"?>
<sst xmlns="http://schemas.openxmlformats.org/spreadsheetml/2006/main" count="65" uniqueCount="57">
  <si>
    <t>Depreciation</t>
  </si>
  <si>
    <t>%</t>
  </si>
  <si>
    <t>Wt. Lb./Hd.</t>
  </si>
  <si>
    <t>$/Cwt.</t>
  </si>
  <si>
    <t xml:space="preserve">  $/Head</t>
  </si>
  <si>
    <t>Average Annual Interest Cost*</t>
  </si>
  <si>
    <t>Veterinary Medicine</t>
  </si>
  <si>
    <t>Price of Weaned Calf</t>
  </si>
  <si>
    <t>Purchase Price Increment</t>
  </si>
  <si>
    <t>Base Purchase cost</t>
  </si>
  <si>
    <t>Pounds of Weaned Calf per Cow*</t>
  </si>
  <si>
    <t>Lb.</t>
  </si>
  <si>
    <t>Average Weaning Weight</t>
  </si>
  <si>
    <t>$/Cow</t>
  </si>
  <si>
    <t>Grazing and Supplemental Feed</t>
  </si>
  <si>
    <t>Number of Cows Serviced Annually and Cost per Cow</t>
  </si>
  <si>
    <t>Number of Cows Serviced Increment</t>
  </si>
  <si>
    <t>Head Serviced Annually</t>
  </si>
  <si>
    <t>Head Annually</t>
  </si>
  <si>
    <t>Annual Operating Cost</t>
  </si>
  <si>
    <t>Annual Ownership Cost</t>
  </si>
  <si>
    <t>Percent of Total Cost</t>
  </si>
  <si>
    <t>Death Loss (% of  Purchase Cost)</t>
  </si>
  <si>
    <t>Other Cost</t>
  </si>
  <si>
    <t>Annual Interest on 1/2 of Operating Cost</t>
  </si>
  <si>
    <t>Operating Cost Item</t>
  </si>
  <si>
    <t>Ownership Cost</t>
  </si>
  <si>
    <t>Weaned Calf Price</t>
  </si>
  <si>
    <t>Sensitivity Analysis to Number of Cows Serviced</t>
  </si>
  <si>
    <t xml:space="preserve">Bull Salvage Value </t>
  </si>
  <si>
    <t>Purchase Price of Bull</t>
  </si>
  <si>
    <t>Useful Life (Years)</t>
  </si>
  <si>
    <t>Interest Rate Used for Opportunity Cost</t>
  </si>
  <si>
    <t>$/cwt</t>
  </si>
  <si>
    <t>Annual Bull Cost per Cwt. Weaned</t>
  </si>
  <si>
    <t>Annual Bull Cost per Cow</t>
  </si>
  <si>
    <t>Annual Bull Cost</t>
  </si>
  <si>
    <t>Change in  Bull Cost per Cow</t>
  </si>
  <si>
    <t>Annual Bull Cost per Calf Weaned</t>
  </si>
  <si>
    <t>Annual Bull Cost for Various Bull Purchase Prices</t>
  </si>
  <si>
    <t>per head</t>
  </si>
  <si>
    <t>per cwt</t>
  </si>
  <si>
    <t>*Change in pounds weaned per exposed female or percent weaned times average weaning weight</t>
  </si>
  <si>
    <t>---------------------------------------------------------------------------------------------------------------------------------------------------------------------------</t>
  </si>
  <si>
    <t>-------------------------------------------------------------------------------------------------------------------------------------------------------------------------------</t>
  </si>
  <si>
    <t>-----------------------------------------------------------------------------------------------------------------------------------------------------------------------------</t>
  </si>
  <si>
    <t>Base Price</t>
  </si>
  <si>
    <t>Bull Purchase Price</t>
  </si>
  <si>
    <t>Cows Exposed to Bull Annually</t>
  </si>
  <si>
    <t>Annual Bull Cost per Cow Exposed</t>
  </si>
  <si>
    <t>Average Investment for Bull</t>
  </si>
  <si>
    <t>Calves Weaned Per Year</t>
  </si>
  <si>
    <t>Annual Total Cost</t>
  </si>
  <si>
    <t>Weaned Calf Crop %</t>
  </si>
  <si>
    <t>Calves Weaned During Useful Life of Bull</t>
  </si>
  <si>
    <t>Pounds Weaned per Exposed Female</t>
  </si>
  <si>
    <r>
      <rPr>
        <sz val="18"/>
        <color indexed="8"/>
        <rFont val="Calibri"/>
        <family val="2"/>
      </rPr>
      <t>Bull Investment Cost Analysis</t>
    </r>
    <r>
      <rPr>
        <sz val="10"/>
        <rFont val="Arial"/>
        <family val="2"/>
      </rPr>
      <t xml:space="preserve">
Texas Agrilife Extension and Oklahoma State University</t>
    </r>
    <r>
      <rPr>
        <sz val="16"/>
        <color indexed="8"/>
        <rFont val="Calibri"/>
        <family val="2"/>
      </rPr>
      <t xml:space="preserve">
</t>
    </r>
    <r>
      <rPr>
        <sz val="10"/>
        <rFont val="Arial"/>
        <family val="2"/>
      </rPr>
      <t xml:space="preserve">
Originally developed by
James McGrann, Professor Emeritus, Texas A&amp;M University and Christy Waggoner, Former Programmer, Texas A&amp;M University
Update by
Damona Doye and Roger Sahs, Agricultural Economics, Oklahoma State University, and Lawrence Falconer, Mississippi State University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</si>
</sst>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mmmm\ d\,\ yyyy"/>
    <numFmt numFmtId="167" formatCode="0.0_);[Red]\(0.0\)"/>
    <numFmt numFmtId="168" formatCode="0.0"/>
    <numFmt numFmtId="169" formatCode="0_);[Red]\(0\)"/>
  </numFmts>
  <fonts count="16">
    <font>
      <sz val="10"/>
      <name val="Arial"/>
      <family val="2"/>
    </font>
    <font>
      <b/>
      <sz val="10"/>
      <name val="Arial"/>
      <family val="2"/>
    </font>
    <font>
      <b/>
      <i/>
      <sz val="12"/>
      <name val="Arial"/>
      <family val="2"/>
    </font>
    <font>
      <sz val="8"/>
      <name val="Tahoma"/>
      <family val="2"/>
    </font>
    <font>
      <b/>
      <sz val="12"/>
      <name val="Arial"/>
      <family val="2"/>
    </font>
    <font>
      <b/>
      <sz val="8"/>
      <name val="Arial"/>
      <family val="2"/>
    </font>
    <font>
      <b/>
      <sz val="14"/>
      <name val="Arial"/>
      <family val="2"/>
    </font>
    <font>
      <sz val="16"/>
      <color indexed="8"/>
      <name val="Calibri"/>
      <family val="2"/>
    </font>
    <font>
      <sz val="18"/>
      <color indexed="8"/>
      <name val="Calibri"/>
      <family val="2"/>
    </font>
    <font>
      <sz val="12"/>
      <name val="Arial"/>
      <family val="2"/>
    </font>
    <font>
      <sz val="12"/>
      <color indexed="12"/>
      <name val="Arial"/>
      <family val="2"/>
    </font>
    <font>
      <sz val="12"/>
      <color indexed="48"/>
      <name val="Arial"/>
      <family val="2"/>
    </font>
    <font>
      <b/>
      <sz val="12"/>
      <color indexed="48"/>
      <name val="Arial"/>
      <family val="2"/>
    </font>
    <font>
      <sz val="11"/>
      <name val="Tahoma"/>
      <family val="2"/>
    </font>
    <font>
      <sz val="12"/>
      <color rgb="FF0000FF"/>
      <name val="Arial"/>
      <family val="2"/>
    </font>
    <font>
      <sz val="11"/>
      <color rgb="FF000000"/>
      <name val="Calibri"/>
      <family val="2"/>
    </font>
  </fonts>
  <fills count="2">
    <fill>
      <patternFill/>
    </fill>
    <fill>
      <patternFill patternType="gray125"/>
    </fill>
  </fills>
  <borders count="8">
    <border>
      <left/>
      <right/>
      <top/>
      <bottom/>
      <diagonal/>
    </border>
    <border>
      <left style="thin"/>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0" fillId="0" borderId="0" xfId="0" applyAlignment="1">
      <alignment horizontal="center"/>
    </xf>
    <xf numFmtId="164" fontId="0" fillId="0" borderId="0" xfId="0" applyNumberFormat="1"/>
    <xf numFmtId="6" fontId="0" fillId="0" borderId="0" xfId="0" applyNumberFormat="1"/>
    <xf numFmtId="166" fontId="2" fillId="0" borderId="0" xfId="0" applyNumberFormat="1" applyFont="1" applyAlignment="1">
      <alignment horizontal="center"/>
    </xf>
    <xf numFmtId="0" fontId="0" fillId="0" borderId="0" xfId="0" quotePrefix="1"/>
    <xf numFmtId="168" fontId="1" fillId="0" borderId="0" xfId="0" applyNumberFormat="1" applyFont="1"/>
    <xf numFmtId="166" fontId="0" fillId="0" borderId="0" xfId="0" applyNumberFormat="1" applyFont="1" applyAlignment="1">
      <alignment horizontal="left"/>
    </xf>
    <xf numFmtId="14" fontId="5" fillId="0" borderId="0" xfId="0" applyNumberFormat="1" applyFont="1" applyAlignment="1">
      <alignment horizontal="left"/>
    </xf>
    <xf numFmtId="165" fontId="1" fillId="0" borderId="0" xfId="0" applyNumberFormat="1" applyFont="1"/>
    <xf numFmtId="0" fontId="6" fillId="0" borderId="0" xfId="0" applyFont="1" applyAlignment="1">
      <alignment horizontal="center"/>
    </xf>
    <xf numFmtId="165" fontId="0" fillId="0" borderId="0" xfId="0" applyNumberFormat="1"/>
    <xf numFmtId="0" fontId="4" fillId="0" borderId="0" xfId="0" applyFont="1" applyAlignment="1">
      <alignment horizontal="center"/>
    </xf>
    <xf numFmtId="0" fontId="9" fillId="0" borderId="0" xfId="0" applyFont="1"/>
    <xf numFmtId="0" fontId="9" fillId="0" borderId="0" xfId="0" applyFont="1" applyAlignment="1">
      <alignment horizontal="center"/>
    </xf>
    <xf numFmtId="0" fontId="4" fillId="0" borderId="0" xfId="0" applyFont="1"/>
    <xf numFmtId="0" fontId="4" fillId="0" borderId="0" xfId="0" applyFont="1" applyAlignment="1">
      <alignment horizontal="center" wrapText="1"/>
    </xf>
    <xf numFmtId="164" fontId="11" fillId="0" borderId="0" xfId="0" applyNumberFormat="1" applyFont="1"/>
    <xf numFmtId="164" fontId="9" fillId="0" borderId="0" xfId="0" applyNumberFormat="1" applyFont="1"/>
    <xf numFmtId="164" fontId="11" fillId="0" borderId="0" xfId="0" applyNumberFormat="1" applyFont="1" applyBorder="1"/>
    <xf numFmtId="164" fontId="9" fillId="0" borderId="0" xfId="0" applyNumberFormat="1" applyFont="1" applyBorder="1"/>
    <xf numFmtId="6" fontId="9" fillId="0" borderId="0" xfId="0" applyNumberFormat="1" applyFont="1"/>
    <xf numFmtId="164" fontId="12" fillId="0" borderId="0" xfId="0" applyNumberFormat="1" applyFont="1" applyBorder="1"/>
    <xf numFmtId="9" fontId="4" fillId="0" borderId="0" xfId="15" applyFont="1"/>
    <xf numFmtId="165" fontId="9" fillId="0" borderId="0" xfId="0" applyNumberFormat="1" applyFont="1" applyBorder="1" applyProtection="1">
      <protection/>
    </xf>
    <xf numFmtId="165" fontId="9" fillId="0" borderId="0" xfId="0" applyNumberFormat="1" applyFont="1"/>
    <xf numFmtId="167" fontId="10" fillId="0" borderId="1" xfId="15" applyNumberFormat="1" applyFont="1" applyBorder="1" applyAlignment="1" applyProtection="1">
      <alignment horizontal="right"/>
      <protection locked="0"/>
    </xf>
    <xf numFmtId="165" fontId="4" fillId="0" borderId="0" xfId="0" applyNumberFormat="1" applyFont="1"/>
    <xf numFmtId="164" fontId="4" fillId="0" borderId="0" xfId="0" applyNumberFormat="1" applyFont="1"/>
    <xf numFmtId="165" fontId="9" fillId="0" borderId="2" xfId="0" applyNumberFormat="1" applyFont="1" applyBorder="1"/>
    <xf numFmtId="165" fontId="9" fillId="0" borderId="0" xfId="0" applyNumberFormat="1" applyFont="1" applyBorder="1"/>
    <xf numFmtId="6" fontId="10" fillId="0" borderId="1" xfId="0" applyNumberFormat="1" applyFont="1" applyBorder="1" applyProtection="1">
      <protection locked="0"/>
    </xf>
    <xf numFmtId="6" fontId="10" fillId="0" borderId="0" xfId="0" applyNumberFormat="1" applyFont="1" applyProtection="1">
      <protection locked="0"/>
    </xf>
    <xf numFmtId="0" fontId="10" fillId="0" borderId="1" xfId="0" applyFont="1" applyBorder="1" applyProtection="1">
      <protection locked="0"/>
    </xf>
    <xf numFmtId="3" fontId="10" fillId="0" borderId="1" xfId="0" applyNumberFormat="1" applyFont="1" applyBorder="1" applyProtection="1">
      <protection locked="0"/>
    </xf>
    <xf numFmtId="169" fontId="10" fillId="0" borderId="1" xfId="15" applyNumberFormat="1" applyFont="1" applyBorder="1" applyAlignment="1" applyProtection="1">
      <alignment horizontal="right"/>
      <protection locked="0"/>
    </xf>
    <xf numFmtId="8" fontId="9" fillId="0" borderId="0" xfId="0" applyNumberFormat="1" applyFont="1"/>
    <xf numFmtId="169" fontId="10" fillId="0" borderId="0" xfId="15" applyNumberFormat="1" applyFont="1" applyBorder="1" applyAlignment="1" applyProtection="1">
      <alignment horizontal="right"/>
      <protection locked="0"/>
    </xf>
    <xf numFmtId="168" fontId="4" fillId="0" borderId="0" xfId="0" applyNumberFormat="1" applyFont="1"/>
    <xf numFmtId="6" fontId="4" fillId="0" borderId="0" xfId="0" applyNumberFormat="1" applyFont="1"/>
    <xf numFmtId="1" fontId="10" fillId="0" borderId="0" xfId="16" applyNumberFormat="1" applyFont="1" applyProtection="1">
      <protection locked="0"/>
    </xf>
    <xf numFmtId="8" fontId="10" fillId="0" borderId="0" xfId="0" applyNumberFormat="1" applyFont="1" applyProtection="1">
      <protection locked="0"/>
    </xf>
    <xf numFmtId="166" fontId="9" fillId="0" borderId="0" xfId="0" applyNumberFormat="1" applyFont="1" applyAlignment="1">
      <alignment horizontal="center"/>
    </xf>
    <xf numFmtId="6" fontId="10" fillId="0" borderId="0" xfId="0" applyNumberFormat="1" applyFont="1"/>
    <xf numFmtId="6" fontId="10" fillId="0" borderId="0" xfId="0" applyNumberFormat="1" applyFont="1" applyAlignment="1" applyProtection="1">
      <alignment horizontal="center"/>
      <protection locked="0"/>
    </xf>
    <xf numFmtId="1" fontId="10" fillId="0" borderId="1" xfId="16" applyNumberFormat="1" applyFont="1" applyBorder="1" applyAlignment="1" applyProtection="1">
      <alignment horizontal="center"/>
      <protection locked="0"/>
    </xf>
    <xf numFmtId="38" fontId="9" fillId="0" borderId="0" xfId="0" applyNumberFormat="1" applyFont="1" applyAlignment="1">
      <alignment horizontal="center"/>
    </xf>
    <xf numFmtId="8" fontId="4" fillId="0" borderId="0" xfId="0" applyNumberFormat="1" applyFont="1" applyAlignment="1">
      <alignment horizontal="center" wrapText="1"/>
    </xf>
    <xf numFmtId="3" fontId="4" fillId="0" borderId="0" xfId="0" applyNumberFormat="1" applyFont="1" applyAlignment="1">
      <alignment horizontal="center"/>
    </xf>
    <xf numFmtId="166" fontId="9" fillId="0" borderId="0" xfId="0" applyNumberFormat="1" applyFont="1" applyAlignment="1">
      <alignment horizontal="left"/>
    </xf>
    <xf numFmtId="0" fontId="0" fillId="0" borderId="0" xfId="0" applyFont="1"/>
    <xf numFmtId="8" fontId="14" fillId="0" borderId="1" xfId="0" applyNumberFormat="1" applyFont="1" applyBorder="1" applyProtection="1">
      <protection locked="0"/>
    </xf>
    <xf numFmtId="164" fontId="4" fillId="0" borderId="3" xfId="0" applyNumberFormat="1" applyFont="1" applyBorder="1"/>
    <xf numFmtId="8" fontId="10" fillId="0" borderId="0" xfId="0" applyNumberFormat="1" applyFont="1" applyBorder="1" applyProtection="1">
      <protection locked="0"/>
    </xf>
    <xf numFmtId="0" fontId="9" fillId="0" borderId="0" xfId="0" applyFont="1" applyAlignment="1">
      <alignment horizontal="right"/>
    </xf>
    <xf numFmtId="1" fontId="9" fillId="0" borderId="0" xfId="0" applyNumberFormat="1" applyFont="1" applyProtection="1">
      <protection/>
    </xf>
    <xf numFmtId="1" fontId="9" fillId="0" borderId="0" xfId="0" applyNumberFormat="1" applyFont="1"/>
    <xf numFmtId="168" fontId="4" fillId="0" borderId="0" xfId="0" applyNumberFormat="1" applyFont="1" applyAlignment="1">
      <alignment horizontal="center"/>
    </xf>
    <xf numFmtId="6" fontId="9" fillId="0" borderId="0" xfId="0" applyNumberFormat="1" applyFont="1" applyAlignment="1">
      <alignment horizontal="center" wrapText="1"/>
    </xf>
    <xf numFmtId="6" fontId="4" fillId="0" borderId="0" xfId="0" applyNumberFormat="1" applyFont="1" applyAlignment="1">
      <alignment horizontal="center" wrapText="1"/>
    </xf>
    <xf numFmtId="165" fontId="9" fillId="0" borderId="0" xfId="0" applyNumberFormat="1" applyFont="1" applyAlignment="1">
      <alignment horizontal="center" wrapText="1"/>
    </xf>
    <xf numFmtId="165" fontId="4" fillId="0" borderId="0" xfId="0" applyNumberFormat="1" applyFont="1" applyAlignment="1">
      <alignment horizontal="center" wrapText="1"/>
    </xf>
    <xf numFmtId="6" fontId="10" fillId="0" borderId="0" xfId="0" applyNumberFormat="1" applyFont="1" applyAlignment="1">
      <alignment horizontal="left"/>
    </xf>
    <xf numFmtId="164" fontId="4" fillId="0" borderId="0" xfId="0" applyNumberFormat="1" applyFont="1" applyBorder="1" applyProtection="1">
      <protection/>
    </xf>
    <xf numFmtId="164" fontId="10" fillId="0" borderId="1" xfId="0" applyNumberFormat="1" applyFont="1" applyBorder="1" applyProtection="1">
      <protection locked="0"/>
    </xf>
    <xf numFmtId="0" fontId="9" fillId="0" borderId="0" xfId="0" applyFont="1" applyProtection="1">
      <protection locked="0"/>
    </xf>
    <xf numFmtId="166" fontId="1"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0" borderId="4" xfId="0" applyFont="1" applyFill="1" applyBorder="1" applyAlignment="1">
      <alignment horizontal="center" wrapText="1"/>
    </xf>
    <xf numFmtId="0" fontId="0" fillId="0" borderId="3"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1</xdr:row>
      <xdr:rowOff>114300</xdr:rowOff>
    </xdr:from>
    <xdr:to>
      <xdr:col>8</xdr:col>
      <xdr:colOff>276225</xdr:colOff>
      <xdr:row>2</xdr:row>
      <xdr:rowOff>466725</xdr:rowOff>
    </xdr:to>
    <xdr:pic>
      <xdr:nvPicPr>
        <xdr:cNvPr id="1168" name="Picture 8" descr="Extensionlogo5.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10275" y="276225"/>
          <a:ext cx="10287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xdr:row>
      <xdr:rowOff>238125</xdr:rowOff>
    </xdr:from>
    <xdr:to>
      <xdr:col>0</xdr:col>
      <xdr:colOff>209550</xdr:colOff>
      <xdr:row>2</xdr:row>
      <xdr:rowOff>400050</xdr:rowOff>
    </xdr:to>
    <xdr:pic>
      <xdr:nvPicPr>
        <xdr:cNvPr id="1169" name="Picture 4" descr="AgriLife EXTENSION logo (2-color).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9550" y="40005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123825</xdr:rowOff>
    </xdr:from>
    <xdr:to>
      <xdr:col>1</xdr:col>
      <xdr:colOff>1447800</xdr:colOff>
      <xdr:row>2</xdr:row>
      <xdr:rowOff>371475</xdr:rowOff>
    </xdr:to>
    <xdr:pic>
      <xdr:nvPicPr>
        <xdr:cNvPr id="1170" name="Picture 4" descr="AgriLife EXTENSION logo (2-color).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95275" y="285750"/>
          <a:ext cx="13620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xdr:row>
      <xdr:rowOff>238125</xdr:rowOff>
    </xdr:from>
    <xdr:to>
      <xdr:col>0</xdr:col>
      <xdr:colOff>209550</xdr:colOff>
      <xdr:row>2</xdr:row>
      <xdr:rowOff>400050</xdr:rowOff>
    </xdr:to>
    <xdr:pic>
      <xdr:nvPicPr>
        <xdr:cNvPr id="1171" name="Picture 4" descr="AgriLife EXTENSION logo (2-color).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9550" y="40005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103</xdr:row>
      <xdr:rowOff>0</xdr:rowOff>
    </xdr:from>
    <xdr:to>
      <xdr:col>8</xdr:col>
      <xdr:colOff>428625</xdr:colOff>
      <xdr:row>106</xdr:row>
      <xdr:rowOff>161925</xdr:rowOff>
    </xdr:to>
    <xdr:sp macro="" textlink="">
      <xdr:nvSpPr>
        <xdr:cNvPr id="17" name="TextBox 16"/>
        <xdr:cNvSpPr txBox="1"/>
      </xdr:nvSpPr>
      <xdr:spPr>
        <a:xfrm>
          <a:off x="209550" y="20631150"/>
          <a:ext cx="6981825" cy="647700"/>
        </a:xfrm>
        <a:prstGeom prst="rect">
          <a:avLst/>
        </a:prstGeom>
        <a:solidFill>
          <a:srgbClr val="FFFFFF"/>
        </a:solidFill>
        <a:ln w="9525" cmpd="sng">
          <a:noFill/>
        </a:ln>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Disclaimer: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control" Target="../activeX/activeX6.xml" /><Relationship Id="rId10" Type="http://schemas.openxmlformats.org/officeDocument/2006/relationships/control" Target="../activeX/activeX4.xml" /><Relationship Id="rId6" Type="http://schemas.openxmlformats.org/officeDocument/2006/relationships/control" Target="../activeX/activeX2.xml" /><Relationship Id="rId8" Type="http://schemas.openxmlformats.org/officeDocument/2006/relationships/control" Target="../activeX/activeX3.xml" /><Relationship Id="rId4" Type="http://schemas.openxmlformats.org/officeDocument/2006/relationships/control" Target="../activeX/activeX1.xml" /><Relationship Id="rId12" Type="http://schemas.openxmlformats.org/officeDocument/2006/relationships/control" Target="../activeX/activeX5.xml" /><Relationship Id="rId5" Type="http://schemas.openxmlformats.org/officeDocument/2006/relationships/image" Target="../media/image1.emf" /><Relationship Id="rId11" Type="http://schemas.openxmlformats.org/officeDocument/2006/relationships/image" Target="../media/image4.emf" /><Relationship Id="rId13" Type="http://schemas.openxmlformats.org/officeDocument/2006/relationships/image" Target="../media/image5.emf" /><Relationship Id="rId7" Type="http://schemas.openxmlformats.org/officeDocument/2006/relationships/image" Target="../media/image2.emf" /><Relationship Id="rId15" Type="http://schemas.openxmlformats.org/officeDocument/2006/relationships/image" Target="../media/image6.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6" Type="http://schemas.openxmlformats.org/officeDocument/2006/relationships/control" Target="../activeX/activeX4.xml" /><Relationship Id="rId17" Type="http://schemas.openxmlformats.org/officeDocument/2006/relationships/control" Target="../activeX/activeX5.xml" /><Relationship Id="rId18" Type="http://schemas.openxmlformats.org/officeDocument/2006/relationships/control" Target="../activeX/activeX6.xm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02"/>
  <sheetViews>
    <sheetView showGridLines="0" tabSelected="1" workbookViewId="0" topLeftCell="A1">
      <selection activeCell="G14" sqref="G14"/>
    </sheetView>
  </sheetViews>
  <sheetFormatPr defaultColWidth="9.140625" defaultRowHeight="12.75"/>
  <cols>
    <col min="1" max="1" width="3.140625" style="0" customWidth="1"/>
    <col min="2" max="2" width="26.8515625" style="0" customWidth="1"/>
    <col min="3" max="3" width="11.8515625" style="13" customWidth="1"/>
    <col min="4" max="4" width="13.00390625" style="13" customWidth="1"/>
    <col min="5" max="5" width="11.7109375" style="13" customWidth="1"/>
    <col min="6" max="6" width="11.00390625" style="13" customWidth="1"/>
    <col min="7" max="7" width="12.140625" style="13" customWidth="1"/>
    <col min="8" max="9" width="11.7109375" style="13" customWidth="1"/>
    <col min="10" max="10" width="10.7109375" style="0" customWidth="1"/>
    <col min="13" max="13" width="9.57421875" style="0" bestFit="1" customWidth="1"/>
    <col min="19" max="19" width="9.140625" style="0" customWidth="1"/>
  </cols>
  <sheetData>
    <row r="1" spans="2:10" ht="12.75" customHeight="1">
      <c r="B1" s="10"/>
      <c r="C1" s="14"/>
      <c r="D1" s="14"/>
      <c r="E1" s="14"/>
      <c r="F1" s="14"/>
      <c r="G1" s="14"/>
      <c r="H1" s="14"/>
      <c r="I1" s="14"/>
      <c r="J1" s="1"/>
    </row>
    <row r="2" spans="1:18" ht="36" customHeight="1">
      <c r="A2" s="70" t="s">
        <v>56</v>
      </c>
      <c r="B2" s="71"/>
      <c r="C2" s="71"/>
      <c r="D2" s="71"/>
      <c r="E2" s="71"/>
      <c r="F2" s="71"/>
      <c r="G2" s="71"/>
      <c r="H2" s="71"/>
      <c r="I2" s="72"/>
      <c r="J2" s="1"/>
      <c r="K2" s="10"/>
      <c r="L2" s="1"/>
      <c r="M2" s="1"/>
      <c r="N2" s="1"/>
      <c r="O2" s="1"/>
      <c r="P2" s="1"/>
      <c r="Q2" s="1"/>
      <c r="R2" s="1"/>
    </row>
    <row r="3" spans="1:9" ht="110.1" customHeight="1">
      <c r="A3" s="73"/>
      <c r="B3" s="74"/>
      <c r="C3" s="74"/>
      <c r="D3" s="74"/>
      <c r="E3" s="74"/>
      <c r="F3" s="74"/>
      <c r="G3" s="74"/>
      <c r="H3" s="74"/>
      <c r="I3" s="75"/>
    </row>
    <row r="4" spans="2:9" ht="17.4">
      <c r="B4" s="10"/>
      <c r="C4" s="14"/>
      <c r="D4" s="14"/>
      <c r="E4" s="14"/>
      <c r="F4" s="14"/>
      <c r="G4" s="14"/>
      <c r="H4" s="14"/>
      <c r="I4" s="14"/>
    </row>
    <row r="5" spans="2:8" ht="12.75">
      <c r="B5" s="13" t="s">
        <v>30</v>
      </c>
      <c r="E5" s="31">
        <v>3250</v>
      </c>
      <c r="H5" s="32"/>
    </row>
    <row r="6" spans="2:5" ht="12.75">
      <c r="B6" s="13" t="s">
        <v>31</v>
      </c>
      <c r="E6" s="33">
        <v>4</v>
      </c>
    </row>
    <row r="7" spans="2:8" ht="12.75">
      <c r="B7" s="13"/>
      <c r="E7" s="14" t="s">
        <v>2</v>
      </c>
      <c r="F7" s="54" t="s">
        <v>33</v>
      </c>
      <c r="G7" s="14" t="s">
        <v>4</v>
      </c>
      <c r="H7" s="14"/>
    </row>
    <row r="8" spans="2:8" ht="12.75">
      <c r="B8" s="13" t="s">
        <v>29</v>
      </c>
      <c r="E8" s="34">
        <v>1800</v>
      </c>
      <c r="F8" s="51">
        <v>93</v>
      </c>
      <c r="G8" s="21">
        <f>E8*F8*0.01</f>
        <v>1674</v>
      </c>
      <c r="H8" s="21"/>
    </row>
    <row r="9" spans="2:6" ht="12.75">
      <c r="B9" s="13" t="s">
        <v>32</v>
      </c>
      <c r="E9" s="26">
        <v>7</v>
      </c>
      <c r="F9" s="13" t="s">
        <v>1</v>
      </c>
    </row>
    <row r="10" spans="2:7" ht="12.75">
      <c r="B10" s="13" t="s">
        <v>50</v>
      </c>
      <c r="G10" s="21">
        <f>(E5+G8)/2</f>
        <v>2462</v>
      </c>
    </row>
    <row r="11" spans="2:7" ht="12.75">
      <c r="B11" s="13"/>
      <c r="G11" s="21"/>
    </row>
    <row r="12" spans="2:6" ht="12.75">
      <c r="B12" s="13" t="s">
        <v>48</v>
      </c>
      <c r="E12" s="34">
        <v>30</v>
      </c>
      <c r="F12" s="21"/>
    </row>
    <row r="13" spans="2:8" ht="15.6">
      <c r="B13" s="13" t="s">
        <v>53</v>
      </c>
      <c r="E13" s="26">
        <v>90</v>
      </c>
      <c r="F13" s="13" t="s">
        <v>1</v>
      </c>
      <c r="H13" s="15"/>
    </row>
    <row r="14" spans="2:8" ht="12.75">
      <c r="B14" s="13" t="s">
        <v>12</v>
      </c>
      <c r="E14" s="35">
        <v>525</v>
      </c>
      <c r="F14" s="13" t="s">
        <v>11</v>
      </c>
      <c r="H14" s="14"/>
    </row>
    <row r="15" spans="2:8" ht="12.75">
      <c r="B15" s="13" t="s">
        <v>27</v>
      </c>
      <c r="E15" s="31">
        <v>170</v>
      </c>
      <c r="F15" s="13" t="s">
        <v>33</v>
      </c>
      <c r="G15" s="53"/>
      <c r="H15" s="14"/>
    </row>
    <row r="16" spans="2:8" ht="12.75">
      <c r="B16" s="13" t="s">
        <v>51</v>
      </c>
      <c r="E16" s="55">
        <f>ROUND(+E12*E13*0.01,0)</f>
        <v>27</v>
      </c>
      <c r="G16" s="53"/>
      <c r="H16" s="14"/>
    </row>
    <row r="17" spans="2:8" ht="12.75">
      <c r="B17" s="13" t="s">
        <v>54</v>
      </c>
      <c r="E17" s="55">
        <f>E6*E16</f>
        <v>108</v>
      </c>
      <c r="G17" s="14"/>
      <c r="H17" s="14"/>
    </row>
    <row r="18" spans="2:14" ht="12.75">
      <c r="B18" s="13" t="s">
        <v>55</v>
      </c>
      <c r="E18" s="56">
        <f>ROUND(E13*E14*0.01,0)</f>
        <v>473</v>
      </c>
      <c r="F18" s="13" t="s">
        <v>11</v>
      </c>
      <c r="G18" s="36">
        <f>E14*E15*0.01</f>
        <v>892.5</v>
      </c>
      <c r="N18" s="14"/>
    </row>
    <row r="19" spans="5:14" ht="15.6">
      <c r="E19" s="37"/>
      <c r="L19" s="15"/>
      <c r="M19" s="13"/>
      <c r="N19" s="38"/>
    </row>
    <row r="20" spans="2:10" ht="62.4">
      <c r="B20" s="15" t="s">
        <v>25</v>
      </c>
      <c r="E20" s="16" t="s">
        <v>36</v>
      </c>
      <c r="F20" s="16"/>
      <c r="G20" s="16" t="s">
        <v>49</v>
      </c>
      <c r="H20" s="16" t="s">
        <v>38</v>
      </c>
      <c r="I20" s="16" t="s">
        <v>34</v>
      </c>
      <c r="J20" s="16" t="s">
        <v>21</v>
      </c>
    </row>
    <row r="21" spans="2:10" ht="12.75">
      <c r="B21" s="13" t="s">
        <v>14</v>
      </c>
      <c r="E21" s="64">
        <v>475</v>
      </c>
      <c r="F21" s="17"/>
      <c r="G21" s="18">
        <f>ROUND(E21/$E$12,2)</f>
        <v>15.83</v>
      </c>
      <c r="H21" s="18">
        <f>ROUND(E21/$E$16,2)</f>
        <v>17.59</v>
      </c>
      <c r="I21" s="18">
        <f>ROUND(+H21/($E$14*0.01),2)</f>
        <v>3.35</v>
      </c>
      <c r="J21" s="13"/>
    </row>
    <row r="22" spans="2:10" ht="12.75">
      <c r="B22" s="13" t="s">
        <v>6</v>
      </c>
      <c r="E22" s="64">
        <v>35</v>
      </c>
      <c r="F22" s="19"/>
      <c r="G22" s="18">
        <f>ROUND(E22/$E$12,2)</f>
        <v>1.17</v>
      </c>
      <c r="H22" s="18">
        <f>ROUND(E22/$E$16,2)</f>
        <v>1.3</v>
      </c>
      <c r="I22" s="18">
        <f>ROUND(+H22/($E$14*0.01),2)</f>
        <v>0.25</v>
      </c>
      <c r="J22" s="13"/>
    </row>
    <row r="23" spans="2:10" ht="12.75">
      <c r="B23" s="65" t="s">
        <v>23</v>
      </c>
      <c r="E23" s="64">
        <v>0</v>
      </c>
      <c r="F23" s="19"/>
      <c r="G23" s="18">
        <f>ROUND(E23/$E$12,2)</f>
        <v>0</v>
      </c>
      <c r="H23" s="18">
        <f>ROUND(E23/$E$16,2)</f>
        <v>0</v>
      </c>
      <c r="I23" s="18">
        <f>ROUND(+H23/($E$14*0.01),2)</f>
        <v>0</v>
      </c>
      <c r="J23" s="13"/>
    </row>
    <row r="24" spans="2:16" ht="12.75">
      <c r="B24" s="13" t="s">
        <v>24</v>
      </c>
      <c r="E24" s="36">
        <f>ROUND((SUM(E21:E23)*0.5*E9*0.01),2)</f>
        <v>17.85</v>
      </c>
      <c r="F24" s="18"/>
      <c r="G24" s="18">
        <f>ROUND(E24/$E$12,2)</f>
        <v>0.6</v>
      </c>
      <c r="H24" s="18">
        <f>ROUND(E24/$E$16,2)</f>
        <v>0.66</v>
      </c>
      <c r="I24" s="18">
        <f>ROUND(+H24/($E$14*0.01),2)</f>
        <v>0.13</v>
      </c>
      <c r="J24" s="13"/>
      <c r="P24" s="11"/>
    </row>
    <row r="25" spans="2:16" ht="15.6">
      <c r="B25" s="15" t="s">
        <v>19</v>
      </c>
      <c r="E25" s="63">
        <f>SUM(E21:E24)</f>
        <v>527.85</v>
      </c>
      <c r="F25" s="22"/>
      <c r="G25" s="63">
        <f>SUM(G21:G24)</f>
        <v>17.6</v>
      </c>
      <c r="H25" s="63">
        <f>SUM(H21:H24)</f>
        <v>19.55</v>
      </c>
      <c r="I25" s="63">
        <f>SUM(I21:I24)</f>
        <v>3.73</v>
      </c>
      <c r="J25" s="23">
        <f>E25/E33</f>
        <v>0.4684962145754378</v>
      </c>
      <c r="P25" s="3"/>
    </row>
    <row r="26" spans="2:16" ht="15.6">
      <c r="B26" s="15"/>
      <c r="E26" s="24"/>
      <c r="F26" s="19"/>
      <c r="G26" s="20"/>
      <c r="I26" s="20"/>
      <c r="J26" s="13"/>
      <c r="P26" s="9"/>
    </row>
    <row r="27" spans="2:10" ht="15.6">
      <c r="B27" s="15" t="s">
        <v>26</v>
      </c>
      <c r="J27" s="13"/>
    </row>
    <row r="28" spans="2:10" ht="12.75">
      <c r="B28" s="13" t="s">
        <v>0</v>
      </c>
      <c r="E28" s="18">
        <f>ROUND((E5-G8)/E6,2)</f>
        <v>394</v>
      </c>
      <c r="F28" s="17"/>
      <c r="G28" s="18">
        <f>ROUND(E28/$E$12,2)</f>
        <v>13.13</v>
      </c>
      <c r="H28" s="18">
        <f>ROUND(E28/$E$16,2)</f>
        <v>14.59</v>
      </c>
      <c r="I28" s="18">
        <f>ROUND(+H28/($E$14*0.01),2)</f>
        <v>2.78</v>
      </c>
      <c r="J28" s="13"/>
    </row>
    <row r="29" spans="2:10" ht="12.75">
      <c r="B29" s="13" t="s">
        <v>5</v>
      </c>
      <c r="E29" s="18">
        <f>ROUND(G10*E9*0.01,2)</f>
        <v>172.34</v>
      </c>
      <c r="F29" s="18"/>
      <c r="G29" s="18">
        <f>ROUND(E29/$E$12,2)</f>
        <v>5.74</v>
      </c>
      <c r="H29" s="18">
        <f>ROUND(E29/$E$16,2)</f>
        <v>6.38</v>
      </c>
      <c r="I29" s="18">
        <f>ROUND(+H29/($E$14*0.01),2)</f>
        <v>1.22</v>
      </c>
      <c r="J29" s="13"/>
    </row>
    <row r="30" spans="2:10" ht="12.75">
      <c r="B30" s="13" t="s">
        <v>22</v>
      </c>
      <c r="D30" s="26">
        <v>1</v>
      </c>
      <c r="E30" s="18">
        <f>ROUND(E5*D30*0.01,2)</f>
        <v>32.5</v>
      </c>
      <c r="F30" s="17"/>
      <c r="G30" s="18">
        <f>ROUND(E30/$E$12,2)</f>
        <v>1.08</v>
      </c>
      <c r="H30" s="18">
        <f>ROUND(E30/$E$16,2)</f>
        <v>1.2</v>
      </c>
      <c r="I30" s="18">
        <f>ROUND(+H30/($E$14*0.01),2)</f>
        <v>0.23</v>
      </c>
      <c r="J30" s="13"/>
    </row>
    <row r="31" spans="2:10" ht="15.6">
      <c r="B31" s="15" t="s">
        <v>20</v>
      </c>
      <c r="C31" s="15"/>
      <c r="D31" s="15"/>
      <c r="E31" s="28">
        <f>SUM(E28:E30)</f>
        <v>598.84</v>
      </c>
      <c r="F31" s="15"/>
      <c r="G31" s="28">
        <f>SUM(G28:G30)</f>
        <v>19.950000000000003</v>
      </c>
      <c r="H31" s="28">
        <f>SUM(H28:H30)</f>
        <v>22.169999999999998</v>
      </c>
      <c r="I31" s="28">
        <f>SUM(I28:I30)</f>
        <v>4.23</v>
      </c>
      <c r="J31" s="23">
        <f>E31/E33</f>
        <v>0.5315037854245622</v>
      </c>
    </row>
    <row r="32" spans="2:10" ht="12.75">
      <c r="B32" s="13"/>
      <c r="E32" s="29"/>
      <c r="G32" s="30"/>
      <c r="H32" s="30"/>
      <c r="I32" s="29"/>
      <c r="J32" s="29"/>
    </row>
    <row r="33" spans="2:10" ht="15.6">
      <c r="B33" s="15" t="s">
        <v>52</v>
      </c>
      <c r="E33" s="28">
        <f>E25+E31</f>
        <v>1126.69</v>
      </c>
      <c r="G33" s="52">
        <f>G25+G31</f>
        <v>37.550000000000004</v>
      </c>
      <c r="H33" s="52">
        <f>H25+H31</f>
        <v>41.72</v>
      </c>
      <c r="I33" s="52">
        <f>I25+I31</f>
        <v>7.960000000000001</v>
      </c>
      <c r="J33" s="13"/>
    </row>
    <row r="35" spans="2:9" ht="12.75">
      <c r="B35" s="5" t="s">
        <v>45</v>
      </c>
      <c r="G35" s="21"/>
      <c r="H35" s="21"/>
      <c r="I35" s="36"/>
    </row>
    <row r="36" spans="2:9" ht="12.75">
      <c r="B36" s="5"/>
      <c r="G36" s="21"/>
      <c r="H36" s="21"/>
      <c r="I36" s="36"/>
    </row>
    <row r="37" spans="2:9" ht="12.75">
      <c r="B37" s="5"/>
      <c r="G37" s="21"/>
      <c r="H37" s="21"/>
      <c r="I37" s="36"/>
    </row>
    <row r="38" spans="2:9" ht="12.75">
      <c r="B38" s="5"/>
      <c r="G38" s="21"/>
      <c r="H38" s="21"/>
      <c r="I38" s="36"/>
    </row>
    <row r="39" spans="2:9" ht="12.75">
      <c r="B39" s="5"/>
      <c r="G39" s="21"/>
      <c r="H39" s="21"/>
      <c r="I39" s="36"/>
    </row>
    <row r="40" spans="2:9" ht="12.75">
      <c r="B40" s="5"/>
      <c r="G40" s="21"/>
      <c r="H40" s="21"/>
      <c r="I40" s="36"/>
    </row>
    <row r="41" spans="2:9" ht="12.75">
      <c r="B41" s="5"/>
      <c r="G41" s="21"/>
      <c r="H41" s="21"/>
      <c r="I41" s="36"/>
    </row>
    <row r="42" spans="2:9" ht="12.75">
      <c r="B42" s="5"/>
      <c r="G42" s="21"/>
      <c r="H42" s="21"/>
      <c r="I42" s="36"/>
    </row>
    <row r="43" spans="2:9" ht="12.75">
      <c r="B43" s="5"/>
      <c r="G43" s="21"/>
      <c r="H43" s="21"/>
      <c r="I43" s="36"/>
    </row>
    <row r="44" spans="2:9" ht="15.6">
      <c r="B44" s="68" t="s">
        <v>39</v>
      </c>
      <c r="C44" s="68"/>
      <c r="D44" s="68"/>
      <c r="E44" s="68"/>
      <c r="F44" s="68"/>
      <c r="G44" s="68"/>
      <c r="H44" s="69"/>
      <c r="I44" s="69"/>
    </row>
    <row r="45" ht="15" customHeight="1"/>
    <row r="46" spans="5:8" ht="94.5">
      <c r="E46" s="16" t="s">
        <v>35</v>
      </c>
      <c r="F46" s="16" t="s">
        <v>34</v>
      </c>
      <c r="G46" s="16" t="s">
        <v>37</v>
      </c>
      <c r="H46" s="16" t="s">
        <v>10</v>
      </c>
    </row>
    <row r="47" spans="2:12" ht="15">
      <c r="B47" s="49" t="s">
        <v>8</v>
      </c>
      <c r="C47" s="31">
        <v>250</v>
      </c>
      <c r="D47" s="49" t="s">
        <v>40</v>
      </c>
      <c r="E47" s="4"/>
      <c r="G47" s="4"/>
      <c r="H47" s="4"/>
      <c r="J47" s="4"/>
      <c r="K47" s="4"/>
      <c r="L47" s="4"/>
    </row>
    <row r="48" spans="2:12" ht="15.75">
      <c r="B48" s="49" t="s">
        <v>7</v>
      </c>
      <c r="C48" s="36">
        <f>E15</f>
        <v>170</v>
      </c>
      <c r="D48" s="49" t="s">
        <v>41</v>
      </c>
      <c r="E48" s="4"/>
      <c r="G48" s="28"/>
      <c r="H48" s="4"/>
      <c r="J48" s="6"/>
      <c r="K48" s="4"/>
      <c r="L48" s="4"/>
    </row>
    <row r="49" spans="2:8" ht="12.75">
      <c r="B49" s="13"/>
      <c r="D49" s="62"/>
      <c r="E49" s="14" t="s">
        <v>13</v>
      </c>
      <c r="F49" s="54" t="s">
        <v>3</v>
      </c>
      <c r="G49" s="54" t="s">
        <v>13</v>
      </c>
      <c r="H49" s="14" t="s">
        <v>11</v>
      </c>
    </row>
    <row r="50" spans="2:8" ht="12.75">
      <c r="B50" s="13" t="s">
        <v>47</v>
      </c>
      <c r="C50" s="21">
        <f>$C51-$C$47</f>
        <v>2500</v>
      </c>
      <c r="E50" s="60">
        <f aca="true" t="shared" si="0" ref="E50:E56">((($C50+$G$8)/2)*$E$9*0.01+$D$30*0.01*$C50+$E$25+($C50-$G$8)/$E$6)/$E$12</f>
        <v>30.181333333333335</v>
      </c>
      <c r="F50" s="25">
        <f aca="true" t="shared" si="1" ref="F50:F56">E50/$E$18*100</f>
        <v>6.380831571529247</v>
      </c>
      <c r="G50" s="25">
        <f>E50-E53</f>
        <v>-7.375</v>
      </c>
      <c r="H50" s="25">
        <f>G50/($E$15*0.01)</f>
        <v>-4.338235294117647</v>
      </c>
    </row>
    <row r="51" spans="2:8" ht="12.75">
      <c r="B51" s="13"/>
      <c r="C51" s="21">
        <f>$C52-$C$47</f>
        <v>2750</v>
      </c>
      <c r="E51" s="60">
        <f t="shared" si="0"/>
        <v>32.63966666666667</v>
      </c>
      <c r="F51" s="25">
        <f t="shared" si="1"/>
        <v>6.900563777307964</v>
      </c>
      <c r="G51" s="25">
        <f>E51-E53</f>
        <v>-4.916666666666664</v>
      </c>
      <c r="H51" s="25">
        <f>G51/($E$15*0.01)</f>
        <v>-2.8921568627450966</v>
      </c>
    </row>
    <row r="52" spans="2:8" ht="12.75">
      <c r="B52" s="13"/>
      <c r="C52" s="21">
        <f>$C53-$C$47</f>
        <v>3000</v>
      </c>
      <c r="E52" s="60">
        <f t="shared" si="0"/>
        <v>35.098</v>
      </c>
      <c r="F52" s="25">
        <f t="shared" si="1"/>
        <v>7.420295983086681</v>
      </c>
      <c r="G52" s="25">
        <f>E52-E53</f>
        <v>-2.4583333333333357</v>
      </c>
      <c r="H52" s="25">
        <f>G52/($E$15*0.01)</f>
        <v>-1.4460784313725505</v>
      </c>
    </row>
    <row r="53" spans="2:11" ht="15.6">
      <c r="B53" s="14" t="s">
        <v>46</v>
      </c>
      <c r="C53" s="39">
        <f>E5</f>
        <v>3250</v>
      </c>
      <c r="E53" s="61">
        <f t="shared" si="0"/>
        <v>37.556333333333335</v>
      </c>
      <c r="F53" s="27">
        <f t="shared" si="1"/>
        <v>7.940028188865399</v>
      </c>
      <c r="G53" s="27"/>
      <c r="H53" s="57"/>
      <c r="K53" s="2"/>
    </row>
    <row r="54" spans="2:8" ht="12.75">
      <c r="B54" s="13"/>
      <c r="C54" s="21">
        <f>$C53+$C$47</f>
        <v>3500</v>
      </c>
      <c r="E54" s="60">
        <f t="shared" si="0"/>
        <v>40.01466666666667</v>
      </c>
      <c r="F54" s="25">
        <f t="shared" si="1"/>
        <v>8.459760394644118</v>
      </c>
      <c r="G54" s="25">
        <f>E54-E53</f>
        <v>2.4583333333333357</v>
      </c>
      <c r="H54" s="25">
        <f>G54/($E$15*0.01)</f>
        <v>1.4460784313725505</v>
      </c>
    </row>
    <row r="55" spans="2:8" ht="12.75">
      <c r="B55" s="13"/>
      <c r="C55" s="21">
        <f>$C54+$C$47</f>
        <v>3750</v>
      </c>
      <c r="E55" s="60">
        <f t="shared" si="0"/>
        <v>42.473</v>
      </c>
      <c r="F55" s="25">
        <f t="shared" si="1"/>
        <v>8.979492600422832</v>
      </c>
      <c r="G55" s="25">
        <f>E55-E53</f>
        <v>4.916666666666664</v>
      </c>
      <c r="H55" s="25">
        <f>G55/($E$15*0.01)</f>
        <v>2.8921568627450966</v>
      </c>
    </row>
    <row r="56" spans="2:8" ht="12.75">
      <c r="B56" s="13"/>
      <c r="C56" s="21">
        <f>$C55+$C$47</f>
        <v>4000</v>
      </c>
      <c r="E56" s="60">
        <f t="shared" si="0"/>
        <v>44.931333333333335</v>
      </c>
      <c r="F56" s="25">
        <f t="shared" si="1"/>
        <v>9.49922480620155</v>
      </c>
      <c r="G56" s="25">
        <f>E56-E53</f>
        <v>7.375</v>
      </c>
      <c r="H56" s="25">
        <f>G56/($E$15*0.01)</f>
        <v>4.338235294117647</v>
      </c>
    </row>
    <row r="57" spans="2:10" ht="15.6">
      <c r="B57" s="13"/>
      <c r="C57" s="21"/>
      <c r="E57" s="47"/>
      <c r="G57" s="28"/>
      <c r="J57" s="6"/>
    </row>
    <row r="58" spans="2:10" ht="15.6">
      <c r="B58" s="50" t="s">
        <v>42</v>
      </c>
      <c r="C58" s="21"/>
      <c r="E58" s="47"/>
      <c r="F58" s="28"/>
      <c r="J58" s="6"/>
    </row>
    <row r="60" spans="2:8" ht="12.75">
      <c r="B60" s="5" t="s">
        <v>43</v>
      </c>
      <c r="G60" s="21"/>
      <c r="H60" s="36"/>
    </row>
    <row r="61" spans="2:8" ht="12.75">
      <c r="B61" s="5"/>
      <c r="G61" s="21"/>
      <c r="H61" s="36"/>
    </row>
    <row r="62" spans="2:8" ht="12.75">
      <c r="B62" s="5"/>
      <c r="G62" s="21"/>
      <c r="H62" s="36"/>
    </row>
    <row r="63" spans="2:8" ht="12.75">
      <c r="B63" s="5"/>
      <c r="G63" s="21"/>
      <c r="H63" s="36"/>
    </row>
    <row r="64" spans="2:8" ht="12.75">
      <c r="B64" s="5"/>
      <c r="G64" s="21"/>
      <c r="H64" s="36"/>
    </row>
    <row r="65" spans="2:8" ht="12.75">
      <c r="B65" s="5"/>
      <c r="G65" s="21"/>
      <c r="H65" s="36"/>
    </row>
    <row r="66" spans="2:8" ht="12.75">
      <c r="B66" s="5"/>
      <c r="G66" s="21"/>
      <c r="H66" s="36"/>
    </row>
    <row r="67" spans="2:8" ht="12.75">
      <c r="B67" s="5"/>
      <c r="G67" s="21"/>
      <c r="H67" s="36"/>
    </row>
    <row r="68" spans="2:8" ht="12.75">
      <c r="B68" s="5"/>
      <c r="G68" s="21"/>
      <c r="H68" s="36"/>
    </row>
    <row r="69" spans="2:8" ht="12.75">
      <c r="B69" s="5"/>
      <c r="G69" s="21"/>
      <c r="H69" s="36"/>
    </row>
    <row r="70" spans="2:8" ht="12.75">
      <c r="B70" s="5"/>
      <c r="G70" s="21"/>
      <c r="H70" s="36"/>
    </row>
    <row r="71" spans="2:8" ht="12.75">
      <c r="B71" s="5"/>
      <c r="G71" s="21"/>
      <c r="H71" s="36"/>
    </row>
    <row r="72" spans="2:8" ht="12.75">
      <c r="B72" s="5"/>
      <c r="G72" s="21"/>
      <c r="H72" s="36"/>
    </row>
    <row r="73" spans="2:8" ht="12.75">
      <c r="B73" s="5"/>
      <c r="G73" s="21"/>
      <c r="H73" s="36"/>
    </row>
    <row r="74" spans="2:8" ht="12.75">
      <c r="B74" s="5"/>
      <c r="G74" s="21"/>
      <c r="H74" s="36"/>
    </row>
    <row r="75" spans="2:8" ht="12.75">
      <c r="B75" s="5"/>
      <c r="G75" s="21"/>
      <c r="H75" s="36"/>
    </row>
    <row r="76" spans="2:8" ht="12.75">
      <c r="B76" s="5"/>
      <c r="G76" s="21"/>
      <c r="H76" s="36"/>
    </row>
    <row r="77" spans="2:8" ht="12.75">
      <c r="B77" s="5"/>
      <c r="G77" s="21"/>
      <c r="H77" s="36"/>
    </row>
    <row r="78" spans="2:8" ht="12.75">
      <c r="B78" s="5"/>
      <c r="G78" s="21"/>
      <c r="H78" s="36"/>
    </row>
    <row r="79" spans="2:8" ht="12.75">
      <c r="B79" s="5"/>
      <c r="G79" s="21"/>
      <c r="H79" s="36"/>
    </row>
    <row r="80" spans="2:8" ht="12.75">
      <c r="B80" s="5"/>
      <c r="G80" s="21"/>
      <c r="H80" s="36"/>
    </row>
    <row r="81" spans="2:8" ht="12.75">
      <c r="B81" s="5"/>
      <c r="G81" s="21"/>
      <c r="H81" s="36"/>
    </row>
    <row r="82" spans="2:8" ht="12.75">
      <c r="B82" s="5"/>
      <c r="G82" s="21"/>
      <c r="H82" s="36"/>
    </row>
    <row r="83" spans="2:8" ht="12.75">
      <c r="B83" s="5"/>
      <c r="G83" s="21"/>
      <c r="H83" s="36"/>
    </row>
    <row r="84" spans="2:8" ht="12.75">
      <c r="B84" s="5"/>
      <c r="G84" s="21"/>
      <c r="H84" s="36"/>
    </row>
    <row r="85" spans="2:8" ht="12.75">
      <c r="B85" s="5"/>
      <c r="G85" s="21"/>
      <c r="H85" s="36"/>
    </row>
    <row r="86" spans="2:8" ht="12.75">
      <c r="B86" s="5"/>
      <c r="G86" s="21"/>
      <c r="H86" s="36"/>
    </row>
    <row r="87" spans="3:8" ht="15.6">
      <c r="C87" s="68" t="s">
        <v>28</v>
      </c>
      <c r="D87" s="69"/>
      <c r="E87" s="69"/>
      <c r="F87" s="69"/>
      <c r="G87" s="69"/>
      <c r="H87" s="69"/>
    </row>
    <row r="88" spans="2:8" ht="12.75">
      <c r="B88" s="7"/>
      <c r="D88" s="44"/>
      <c r="E88" s="42"/>
      <c r="G88" s="21"/>
      <c r="H88" s="21"/>
    </row>
    <row r="89" spans="2:8" ht="15">
      <c r="B89" s="49" t="s">
        <v>16</v>
      </c>
      <c r="D89" s="45">
        <v>10</v>
      </c>
      <c r="E89" s="49" t="s">
        <v>18</v>
      </c>
      <c r="G89" s="21"/>
      <c r="H89" s="21"/>
    </row>
    <row r="90" spans="2:8" ht="15">
      <c r="B90" s="49"/>
      <c r="C90" s="40"/>
      <c r="D90" s="42"/>
      <c r="E90" s="4"/>
      <c r="G90" s="21"/>
      <c r="H90" s="21"/>
    </row>
    <row r="91" spans="2:8" ht="15">
      <c r="B91" s="49"/>
      <c r="C91" s="66" t="s">
        <v>15</v>
      </c>
      <c r="D91" s="67"/>
      <c r="E91" s="67"/>
      <c r="F91" s="67"/>
      <c r="G91" s="67"/>
      <c r="H91" s="67"/>
    </row>
    <row r="92" spans="2:8" ht="15.6">
      <c r="B92" s="49" t="s">
        <v>17</v>
      </c>
      <c r="C92" s="41"/>
      <c r="D92" s="46">
        <f>E92-D89</f>
        <v>10</v>
      </c>
      <c r="E92" s="46">
        <f>(F92-D89)</f>
        <v>20</v>
      </c>
      <c r="F92" s="48">
        <f>E12</f>
        <v>30</v>
      </c>
      <c r="G92" s="46">
        <f>(F92+D89)</f>
        <v>40</v>
      </c>
      <c r="H92" s="46">
        <f>G92+D89</f>
        <v>50</v>
      </c>
    </row>
    <row r="93" spans="2:8" ht="15.6">
      <c r="B93" s="13"/>
      <c r="C93" s="15" t="s">
        <v>4</v>
      </c>
      <c r="D93" s="43"/>
      <c r="F93" s="12" t="s">
        <v>13</v>
      </c>
      <c r="G93" s="21"/>
      <c r="H93" s="21"/>
    </row>
    <row r="94" spans="2:8" ht="15">
      <c r="B94" s="13"/>
      <c r="C94" s="21">
        <f>$C95-$C$47</f>
        <v>2500</v>
      </c>
      <c r="D94" s="58">
        <f aca="true" t="shared" si="2" ref="D94:D100">((($C94+$G$8)/2)*$E$9*0.01+0.01*$C94+$E$25+($C94-$G$8)/$E$6)/$D$92</f>
        <v>90.54400000000001</v>
      </c>
      <c r="E94" s="58">
        <f aca="true" t="shared" si="3" ref="E94:E100">((($C94+$G$8)/2)*$E$9*0.01+0.01*$C94+$E$25+($C94-$G$8)/$E$6)/$E$92</f>
        <v>45.272000000000006</v>
      </c>
      <c r="F94" s="58">
        <f aca="true" t="shared" si="4" ref="F94:F100">((($C94+$G$8)/2)*$E$9*0.01+0.01*$C94+$E$25+($C94-$G$8)/$E$6)/$F$92</f>
        <v>30.181333333333335</v>
      </c>
      <c r="G94" s="58">
        <f aca="true" t="shared" si="5" ref="G94:G100">((($C94+$G$8)/2)*$E$9*0.01+0.01*$C94+$E$25++($C94-$G$8)/$E$6)/G$92</f>
        <v>22.636000000000003</v>
      </c>
      <c r="H94" s="58">
        <f aca="true" t="shared" si="6" ref="H94:H100">((($C94+$G$8)/2)*$E$9*0.01+0.01*$C94+$E$25+($C94-$G$8)/$E$6)/H$92</f>
        <v>18.108800000000002</v>
      </c>
    </row>
    <row r="95" spans="2:8" ht="15">
      <c r="B95" s="13"/>
      <c r="C95" s="21">
        <f>$C96-$C$47</f>
        <v>2750</v>
      </c>
      <c r="D95" s="58">
        <f t="shared" si="2"/>
        <v>97.91900000000001</v>
      </c>
      <c r="E95" s="58">
        <f t="shared" si="3"/>
        <v>48.959500000000006</v>
      </c>
      <c r="F95" s="58">
        <f t="shared" si="4"/>
        <v>32.63966666666667</v>
      </c>
      <c r="G95" s="58">
        <f t="shared" si="5"/>
        <v>24.479750000000003</v>
      </c>
      <c r="H95" s="58">
        <f t="shared" si="6"/>
        <v>19.5838</v>
      </c>
    </row>
    <row r="96" spans="2:8" ht="15">
      <c r="B96" s="13"/>
      <c r="C96" s="21">
        <f>$C97-$C$47</f>
        <v>3000</v>
      </c>
      <c r="D96" s="58">
        <f t="shared" si="2"/>
        <v>105.29400000000001</v>
      </c>
      <c r="E96" s="58">
        <f t="shared" si="3"/>
        <v>52.647000000000006</v>
      </c>
      <c r="F96" s="58">
        <f t="shared" si="4"/>
        <v>35.098</v>
      </c>
      <c r="G96" s="58">
        <f t="shared" si="5"/>
        <v>26.323500000000003</v>
      </c>
      <c r="H96" s="58">
        <f t="shared" si="6"/>
        <v>21.0588</v>
      </c>
    </row>
    <row r="97" spans="2:8" ht="15.75">
      <c r="B97" s="13" t="s">
        <v>9</v>
      </c>
      <c r="C97" s="39">
        <f>E5</f>
        <v>3250</v>
      </c>
      <c r="D97" s="58">
        <f t="shared" si="2"/>
        <v>112.66900000000001</v>
      </c>
      <c r="E97" s="58">
        <f t="shared" si="3"/>
        <v>56.334500000000006</v>
      </c>
      <c r="F97" s="59">
        <f t="shared" si="4"/>
        <v>37.556333333333335</v>
      </c>
      <c r="G97" s="58">
        <f t="shared" si="5"/>
        <v>28.167250000000003</v>
      </c>
      <c r="H97" s="58">
        <f t="shared" si="6"/>
        <v>22.5338</v>
      </c>
    </row>
    <row r="98" spans="2:8" ht="12.75">
      <c r="B98" s="13"/>
      <c r="C98" s="21">
        <f>$C97+$C$47</f>
        <v>3500</v>
      </c>
      <c r="D98" s="58">
        <f t="shared" si="2"/>
        <v>120.04400000000001</v>
      </c>
      <c r="E98" s="58">
        <f t="shared" si="3"/>
        <v>60.022000000000006</v>
      </c>
      <c r="F98" s="58">
        <f t="shared" si="4"/>
        <v>40.01466666666667</v>
      </c>
      <c r="G98" s="58">
        <f t="shared" si="5"/>
        <v>30.011000000000003</v>
      </c>
      <c r="H98" s="58">
        <f t="shared" si="6"/>
        <v>24.0088</v>
      </c>
    </row>
    <row r="99" spans="2:8" ht="12.75">
      <c r="B99" s="13"/>
      <c r="C99" s="21">
        <f>$C98+$C$47</f>
        <v>3750</v>
      </c>
      <c r="D99" s="58">
        <f t="shared" si="2"/>
        <v>127.41900000000001</v>
      </c>
      <c r="E99" s="58">
        <f t="shared" si="3"/>
        <v>63.709500000000006</v>
      </c>
      <c r="F99" s="58">
        <f t="shared" si="4"/>
        <v>42.473</v>
      </c>
      <c r="G99" s="58">
        <f t="shared" si="5"/>
        <v>31.854750000000003</v>
      </c>
      <c r="H99" s="58">
        <f t="shared" si="6"/>
        <v>25.483800000000002</v>
      </c>
    </row>
    <row r="100" spans="2:8" ht="12.75">
      <c r="B100" s="13"/>
      <c r="C100" s="21">
        <f>$C99+$C$47</f>
        <v>4000</v>
      </c>
      <c r="D100" s="58">
        <f t="shared" si="2"/>
        <v>134.794</v>
      </c>
      <c r="E100" s="58">
        <f t="shared" si="3"/>
        <v>67.397</v>
      </c>
      <c r="F100" s="58">
        <f t="shared" si="4"/>
        <v>44.931333333333335</v>
      </c>
      <c r="G100" s="58">
        <f t="shared" si="5"/>
        <v>33.6985</v>
      </c>
      <c r="H100" s="58">
        <f t="shared" si="6"/>
        <v>26.9588</v>
      </c>
    </row>
    <row r="101" ht="12.75">
      <c r="B101" s="5" t="s">
        <v>44</v>
      </c>
    </row>
    <row r="102" ht="12.75">
      <c r="B102" s="8"/>
    </row>
  </sheetData>
  <sheetProtection sheet="1" objects="1" scenarios="1"/>
  <mergeCells count="4">
    <mergeCell ref="C91:H91"/>
    <mergeCell ref="B44:I44"/>
    <mergeCell ref="C87:H87"/>
    <mergeCell ref="A2:I3"/>
  </mergeCells>
  <printOptions/>
  <pageMargins left="1" right="0.5" top="1" bottom="1" header="0.5" footer="0.5"/>
  <pageSetup fitToHeight="1" fitToWidth="1" horizontalDpi="1200" verticalDpi="1200" orientation="portrait" scale="68" r:id="rId22"/>
  <headerFooter alignWithMargins="0">
    <oddFooter>&amp;LFile Name:&amp;F&amp;R&amp;D</oddFooter>
  </headerFooter>
  <drawing r:id="rId21"/>
  <legacyDrawing r:id="rId20"/>
  <controls>
    <control shapeId="1101" r:id="rId1" name="cmdSens2a"/>
    <control shapeId="1100" r:id="rId2" name="cmdSens2"/>
    <control shapeId="1095" r:id="rId3" name="cmdSens1a"/>
    <control shapeId="1094" r:id="rId16" name="cmdInput1a"/>
    <control shapeId="1043" r:id="rId17" name="cmdSens1"/>
    <control shapeId="1042" r:id="rId18" name="cmdInput1"/>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Kelly 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J. Kelly</dc:creator>
  <cp:keywords/>
  <dc:description/>
  <cp:lastModifiedBy>Thomison, Julianne</cp:lastModifiedBy>
  <cp:lastPrinted>2011-03-01T16:41:58Z</cp:lastPrinted>
  <dcterms:created xsi:type="dcterms:W3CDTF">2003-11-07T15:31:04Z</dcterms:created>
  <dcterms:modified xsi:type="dcterms:W3CDTF">2021-10-26T16:42:05Z</dcterms:modified>
  <cp:category/>
  <cp:version/>
  <cp:contentType/>
  <cp:contentStatus/>
</cp:coreProperties>
</file>