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Factsheet/AGEC-263/"/>
    </mc:Choice>
  </mc:AlternateContent>
  <xr:revisionPtr revIDLastSave="0" documentId="8_{5CB4BD40-CFAD-4763-9643-E00D4400EFF6}" xr6:coauthVersionLast="47" xr6:coauthVersionMax="47" xr10:uidLastSave="{00000000-0000-0000-0000-000000000000}"/>
  <bookViews>
    <workbookView xWindow="1500" yWindow="1500" windowWidth="10548" windowHeight="8916" xr2:uid="{00000000-000D-0000-FFFF-FFFF00000000}"/>
  </bookViews>
  <sheets>
    <sheet name="Budget" sheetId="1" r:id="rId1"/>
    <sheet name="cost_of_gain" sheetId="8" state="hidden" r:id="rId2"/>
    <sheet name="combined prices" sheetId="4" state="hidden" r:id="rId3"/>
    <sheet name="OKC prices" sheetId="2" state="hidden" r:id="rId4"/>
    <sheet name="futures" sheetId="3" state="hidden" r:id="rId5"/>
    <sheet name="basis" sheetId="6" state="hidden" r:id="rId6"/>
    <sheet name="lists" sheetId="5" state="hidden" r:id="rId7"/>
    <sheet name="Sheet1" sheetId="9" state="hidden" r:id="rId8"/>
  </sheets>
  <externalReferences>
    <externalReference r:id="rId9"/>
  </externalReferences>
  <definedNames>
    <definedName name="gender">[1]lists!$C$2:$C$4</definedName>
    <definedName name="location" localSheetId="1">#REF!</definedName>
    <definedName name="locations">lists!$A$2:$A$3</definedName>
    <definedName name="months">lists!$A$7:$A$18</definedName>
    <definedName name="Weights">[1]lists!$A$2:$A$12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" l="1"/>
  <c r="O16" i="2"/>
  <c r="N16" i="2"/>
  <c r="M16" i="2"/>
  <c r="L16" i="2"/>
  <c r="K16" i="2"/>
  <c r="J16" i="2"/>
  <c r="I16" i="2"/>
  <c r="H16" i="2"/>
  <c r="G16" i="2"/>
  <c r="F16" i="2"/>
  <c r="G17" i="2" l="1"/>
  <c r="G18" i="2" s="1"/>
  <c r="M17" i="2"/>
  <c r="M18" i="2" s="1"/>
  <c r="I17" i="2"/>
  <c r="I18" i="2" s="1"/>
  <c r="J21" i="2"/>
  <c r="J17" i="2"/>
  <c r="J18" i="2" s="1"/>
  <c r="O17" i="2"/>
  <c r="O18" i="2" s="1"/>
  <c r="H17" i="2"/>
  <c r="H18" i="2" s="1"/>
  <c r="P17" i="2"/>
  <c r="P18" i="2" s="1"/>
  <c r="K17" i="2"/>
  <c r="K18" i="2" s="1"/>
  <c r="I21" i="2"/>
  <c r="H21" i="2"/>
  <c r="L17" i="2"/>
  <c r="L18" i="2" s="1"/>
  <c r="N17" i="2"/>
  <c r="N18" i="2" s="1"/>
  <c r="J47" i="1"/>
  <c r="F47" i="1"/>
  <c r="J41" i="1"/>
  <c r="J43" i="1" s="1"/>
  <c r="F41" i="1"/>
  <c r="F43" i="1" s="1"/>
  <c r="L21" i="8"/>
  <c r="J21" i="8"/>
  <c r="L10" i="8"/>
  <c r="J10" i="8"/>
  <c r="F4" i="8"/>
  <c r="K23" i="5"/>
  <c r="K22" i="5"/>
  <c r="K8" i="5"/>
  <c r="J8" i="5"/>
  <c r="K20" i="5"/>
  <c r="J22" i="5" s="1"/>
  <c r="L15" i="5"/>
  <c r="K16" i="5" s="1"/>
  <c r="K15" i="5"/>
  <c r="J15" i="5"/>
  <c r="K13" i="5"/>
  <c r="H42" i="1"/>
  <c r="E2" i="5"/>
  <c r="E3" i="5"/>
  <c r="G2" i="5"/>
  <c r="G3" i="5"/>
  <c r="F17" i="8"/>
  <c r="G21" i="2" l="1"/>
  <c r="L22" i="8"/>
  <c r="L24" i="8" s="1"/>
  <c r="J22" i="8"/>
  <c r="J24" i="8" s="1"/>
  <c r="L23" i="5"/>
  <c r="L22" i="5"/>
  <c r="J23" i="5"/>
  <c r="J16" i="5"/>
  <c r="L16" i="5"/>
  <c r="K17" i="5" s="1"/>
  <c r="K24" i="5" l="1"/>
  <c r="J24" i="5"/>
  <c r="J17" i="5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B9" i="5"/>
  <c r="B10" i="5" s="1"/>
  <c r="B11" i="5" s="1"/>
  <c r="B12" i="5" s="1"/>
  <c r="B13" i="5" s="1"/>
  <c r="B14" i="5" s="1"/>
  <c r="B15" i="5" s="1"/>
  <c r="B16" i="5" s="1"/>
  <c r="B17" i="5" s="1"/>
  <c r="F22" i="1"/>
  <c r="F46" i="1" s="1"/>
  <c r="H22" i="1"/>
  <c r="J46" i="1" s="1"/>
  <c r="H10" i="1"/>
  <c r="J48" i="1"/>
  <c r="L48" i="1" s="1"/>
  <c r="L47" i="1"/>
  <c r="L41" i="1"/>
  <c r="H41" i="1"/>
  <c r="L42" i="1"/>
  <c r="F48" i="1"/>
  <c r="H28" i="1"/>
  <c r="F28" i="1"/>
  <c r="F17" i="1" l="1"/>
  <c r="J1" i="5" s="1"/>
  <c r="K1" i="5" s="1"/>
  <c r="B18" i="5"/>
  <c r="J3" i="5"/>
  <c r="K3" i="5"/>
  <c r="L43" i="1"/>
  <c r="J49" i="1"/>
  <c r="L49" i="1" s="1"/>
  <c r="F49" i="1"/>
  <c r="H49" i="1" s="1"/>
  <c r="H47" i="1"/>
  <c r="H48" i="1"/>
  <c r="L1" i="5" l="1"/>
  <c r="J6" i="5" s="1"/>
  <c r="J4" i="5"/>
  <c r="O11" i="5"/>
  <c r="M3" i="5"/>
  <c r="M5" i="5"/>
  <c r="L5" i="5"/>
  <c r="L3" i="5"/>
  <c r="H43" i="1"/>
  <c r="J50" i="1"/>
  <c r="J52" i="1" s="1"/>
  <c r="F50" i="1"/>
  <c r="F52" i="1" s="1"/>
  <c r="L6" i="5" l="1"/>
  <c r="M6" i="5"/>
  <c r="K6" i="5"/>
  <c r="L4" i="5"/>
  <c r="K4" i="5"/>
  <c r="J7" i="5"/>
  <c r="M8" i="5"/>
  <c r="Q3" i="5" s="1"/>
  <c r="L8" i="5"/>
  <c r="P3" i="5" s="1"/>
  <c r="J51" i="1"/>
  <c r="J53" i="1" s="1"/>
  <c r="F51" i="1"/>
  <c r="F53" i="1" s="1"/>
  <c r="L7" i="5" l="1"/>
  <c r="P4" i="5" s="1"/>
  <c r="M4" i="5"/>
  <c r="M7" i="5" s="1"/>
  <c r="K7" i="5"/>
  <c r="Q4" i="5" l="1"/>
</calcChain>
</file>

<file path=xl/sharedStrings.xml><?xml version="1.0" encoding="utf-8"?>
<sst xmlns="http://schemas.openxmlformats.org/spreadsheetml/2006/main" count="437" uniqueCount="217">
  <si>
    <t>NAME</t>
  </si>
  <si>
    <t>Date</t>
  </si>
  <si>
    <t>Days in receiving program</t>
  </si>
  <si>
    <t>Days grazed on wheat</t>
  </si>
  <si>
    <t>Expected sale date</t>
  </si>
  <si>
    <t>Expected purchase date</t>
  </si>
  <si>
    <t>Steers</t>
  </si>
  <si>
    <t>Heifers</t>
  </si>
  <si>
    <t>lbs/head</t>
  </si>
  <si>
    <t>Purchase weight</t>
  </si>
  <si>
    <t>Purchase price</t>
  </si>
  <si>
    <t>Do you want to update price data?</t>
  </si>
  <si>
    <t>Purchase cost</t>
  </si>
  <si>
    <t>$/head</t>
  </si>
  <si>
    <t>Receiving Program ADG</t>
  </si>
  <si>
    <t>Wheat grazing ADG</t>
  </si>
  <si>
    <t>Death loss</t>
  </si>
  <si>
    <t>percent</t>
  </si>
  <si>
    <t>Stocking density</t>
  </si>
  <si>
    <t>head/acre</t>
  </si>
  <si>
    <t>Veterinary cost</t>
  </si>
  <si>
    <t>Marketing cost</t>
  </si>
  <si>
    <t>Cost of gain</t>
  </si>
  <si>
    <t>Interest rate</t>
  </si>
  <si>
    <t>%</t>
  </si>
  <si>
    <t>Wheat Stocker Enterprise Budget</t>
  </si>
  <si>
    <t>Sales weight</t>
  </si>
  <si>
    <t>Sales price</t>
  </si>
  <si>
    <t>$/cwt</t>
  </si>
  <si>
    <t>Revenue</t>
  </si>
  <si>
    <t>Total</t>
  </si>
  <si>
    <t>Daily</t>
  </si>
  <si>
    <t>Gross Revenue</t>
  </si>
  <si>
    <t>Purchase</t>
  </si>
  <si>
    <t>Interest expense</t>
  </si>
  <si>
    <t>Total Expense</t>
  </si>
  <si>
    <t>Net Return</t>
  </si>
  <si>
    <t>Breakeven Price</t>
  </si>
  <si>
    <t>Expense per head sold</t>
  </si>
  <si>
    <t>Net Return per acre</t>
  </si>
  <si>
    <t>$/acre</t>
  </si>
  <si>
    <t>OKC</t>
  </si>
  <si>
    <t>The current price data is dated as</t>
  </si>
  <si>
    <t xml:space="preserve">WEIGHTED AVERAGE SUMMARY FOR OKLAHOMA  AUCTIONS </t>
  </si>
  <si>
    <t>FEEDER CATTLE HEIFERS</t>
  </si>
  <si>
    <t>combined auctions OK</t>
  </si>
  <si>
    <t>KO_LS794</t>
  </si>
  <si>
    <t>FEEDER CATTLE STEERS</t>
  </si>
  <si>
    <t>MEDIUM AND LARGE FRAME #1</t>
  </si>
  <si>
    <t>-</t>
  </si>
  <si>
    <t>: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</si>
  <si>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</si>
  <si>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</si>
  <si>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</si>
  <si>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</si>
  <si>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</si>
  <si>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</si>
  <si>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</si>
  <si>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</si>
  <si>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</si>
  <si>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</si>
  <si>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</si>
  <si>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</si>
  <si>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</si>
  <si>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</si>
  <si>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</si>
  <si>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</si>
  <si>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</si>
  <si>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</si>
  <si>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</si>
  <si>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</si>
  <si>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</si>
  <si>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What location's price data do you want use?</t>
  </si>
  <si>
    <t>lb/head</t>
  </si>
  <si>
    <t>lb/day</t>
  </si>
  <si>
    <t>lb/acre</t>
  </si>
  <si>
    <t>$/lb</t>
  </si>
  <si>
    <t>Other costs per month</t>
  </si>
  <si>
    <t>Vet, Marketing and Other</t>
  </si>
  <si>
    <t>LS214OK</t>
  </si>
  <si>
    <t>KO_LS795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</si>
  <si>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</si>
  <si>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</si>
  <si>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</si>
  <si>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</si>
  <si>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</si>
  <si>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</si>
  <si>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</si>
  <si>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</si>
  <si>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</si>
  <si>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</si>
  <si>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</si>
  <si>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</si>
  <si>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</si>
  <si>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</si>
  <si>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</si>
  <si>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</si>
  <si>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</si>
  <si>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</si>
  <si>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</si>
  <si>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</si>
  <si>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</si>
  <si>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</si>
  <si>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</si>
  <si>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</si>
  <si>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</si>
  <si>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</si>
  <si>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</si>
  <si>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</si>
  <si>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</si>
  <si>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</si>
  <si>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</si>
  <si>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</si>
  <si>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</si>
  <si>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</si>
  <si>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</si>
  <si>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</si>
  <si>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</si>
  <si>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</si>
  <si>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Feeder Cattle Futures</t>
  </si>
  <si>
    <t>DAILY</t>
  </si>
  <si>
    <t>JAN</t>
  </si>
  <si>
    <t>MAR</t>
  </si>
  <si>
    <t>APR</t>
  </si>
  <si>
    <t>MAY</t>
  </si>
  <si>
    <t>AUG</t>
  </si>
  <si>
    <t>SEP</t>
  </si>
  <si>
    <t>OCT</t>
  </si>
  <si>
    <t>NOV</t>
  </si>
  <si>
    <t>Nearby</t>
  </si>
  <si>
    <t>locations</t>
  </si>
  <si>
    <t>OK combined</t>
  </si>
  <si>
    <t>updated</t>
  </si>
  <si>
    <t>current</t>
  </si>
  <si>
    <t>steers</t>
  </si>
  <si>
    <t>heifers</t>
  </si>
  <si>
    <t>combined</t>
  </si>
  <si>
    <t>okc</t>
  </si>
  <si>
    <t>futures</t>
  </si>
  <si>
    <t>sales date</t>
  </si>
  <si>
    <t>Nov</t>
  </si>
  <si>
    <t>Months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</si>
  <si>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</si>
  <si>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</si>
  <si>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</si>
  <si>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</si>
  <si>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</si>
  <si>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</si>
  <si>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</si>
  <si>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</si>
  <si>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</si>
  <si>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</si>
  <si>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Dec</t>
  </si>
  <si>
    <t>Jun</t>
  </si>
  <si>
    <t>Jul</t>
  </si>
  <si>
    <t>Sep</t>
  </si>
  <si>
    <t>basis</t>
  </si>
  <si>
    <t>weight</t>
  </si>
  <si>
    <t>findrow</t>
  </si>
  <si>
    <t>net price</t>
  </si>
  <si>
    <t>Receiving Program Expenses</t>
  </si>
  <si>
    <t>Total receiving program expenses</t>
  </si>
  <si>
    <t>FEB</t>
  </si>
  <si>
    <t>JUN</t>
  </si>
  <si>
    <t>JUL</t>
  </si>
  <si>
    <t>DEC</t>
  </si>
  <si>
    <t>price interpolation</t>
  </si>
  <si>
    <t>purchase steers</t>
  </si>
  <si>
    <t>purchase weight</t>
  </si>
  <si>
    <t>price low</t>
  </si>
  <si>
    <t>price high</t>
  </si>
  <si>
    <t>extrpolated</t>
  </si>
  <si>
    <t>purchase heifers</t>
  </si>
  <si>
    <t>Price interpolation</t>
  </si>
  <si>
    <t>sales</t>
  </si>
  <si>
    <t>basis weight</t>
  </si>
  <si>
    <t>perc</t>
  </si>
  <si>
    <t>price</t>
  </si>
  <si>
    <t>Wheat pasture rent ($/head)</t>
  </si>
  <si>
    <t>Total Pasture Grazing Expenses</t>
  </si>
  <si>
    <t>FEEDER CATTLE SEASONAL PRICE INDEX</t>
  </si>
  <si>
    <t>seasonality index</t>
  </si>
  <si>
    <t>download price data</t>
  </si>
  <si>
    <t>Receiving Weight (lb)</t>
  </si>
  <si>
    <t>Hay costs</t>
  </si>
  <si>
    <t>Price ($/ton)</t>
  </si>
  <si>
    <t>Supplement</t>
  </si>
  <si>
    <t>Mineral</t>
  </si>
  <si>
    <t>Wheat Pasture Grazing Expenses</t>
  </si>
  <si>
    <t>oz/head/day</t>
  </si>
  <si>
    <t>Transport to pasture</t>
  </si>
  <si>
    <t>Other receiving costs</t>
  </si>
  <si>
    <t>$/lbs</t>
  </si>
  <si>
    <t>Gain</t>
  </si>
  <si>
    <t>Total Receiving and Grazing Expenses</t>
  </si>
  <si>
    <t>lb/head/day</t>
  </si>
  <si>
    <t>Implant cost</t>
  </si>
  <si>
    <t>$/head/day</t>
  </si>
  <si>
    <t>Labor</t>
  </si>
  <si>
    <t>Equipment and machinery</t>
  </si>
  <si>
    <t>Management fee</t>
  </si>
  <si>
    <t>Other</t>
  </si>
  <si>
    <t>lbs</t>
  </si>
  <si>
    <t>$/lb of gain</t>
  </si>
  <si>
    <t>Feed cost of gain</t>
  </si>
  <si>
    <t>Feed Cost of Gain Analysis</t>
  </si>
  <si>
    <r>
      <rPr>
        <sz val="18"/>
        <color theme="1"/>
        <rFont val="Calibri"/>
        <family val="2"/>
        <scheme val="minor"/>
      </rPr>
      <t>Oklahoma Wheat Stocker Budget Generator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indexed="8"/>
        <rFont val="Calibri"/>
        <family val="2"/>
      </rPr>
      <t>Oklahoma State University
Oklahoma Cooperative Extension Service
Oklahoma Agricultural Experiment Station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indexed="8"/>
        <rFont val="Calibri"/>
        <family val="2"/>
      </rPr>
      <t>Stillwater, Oklahoma</t>
    </r>
    <r>
      <rPr>
        <sz val="11"/>
        <color theme="1"/>
        <rFont val="Calibri"/>
        <family val="2"/>
        <scheme val="minor"/>
      </rPr>
      <t xml:space="preserve">
Developed by
Eric A. DeVuyst, Francis Epplin, Derrel Peel, Karen Taylor,
Dept. of Agricultural Economics
Gerald Horn, David Lalman, Dept. of Animal Science
</t>
    </r>
  </si>
  <si>
    <t>What's new?</t>
  </si>
  <si>
    <t>2009-2013</t>
  </si>
  <si>
    <t>example</t>
  </si>
  <si>
    <t>rev</t>
  </si>
  <si>
    <t>5 to 6</t>
  </si>
  <si>
    <t>5 to 7</t>
  </si>
  <si>
    <t>6 to 7</t>
  </si>
  <si>
    <t>6 to 8</t>
  </si>
  <si>
    <t>2010-2014</t>
  </si>
  <si>
    <t>Build date 08/21/2015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</si>
</sst>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9]mmmm\ d\,\ yyyy;@"/>
    <numFmt numFmtId="165" formatCode="0.0"/>
    <numFmt numFmtId="166" formatCode="0.0%"/>
    <numFmt numFmtId="167" formatCode="&quot;$&quot;#,##0.00"/>
    <numFmt numFmtId="168" formatCode="mm/dd/yy_)"/>
    <numFmt numFmtId="169" formatCode="0.00_)"/>
    <numFmt numFmtId="170" formatCode="mm/dd/yy"/>
    <numFmt numFmtId="171" formatCode="[$-409]d\-mmm;@"/>
    <numFmt numFmtId="172" formatCode="&quot;$&quot;#,##0"/>
    <numFmt numFmtId="173" formatCode="[Blue]#,#00.00"/>
  </numFmts>
  <fonts count="34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 MT"/>
    </font>
    <font>
      <sz val="12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 MT"/>
    </font>
    <font>
      <sz val="16"/>
      <name val="Calibri"/>
      <family val="2"/>
      <scheme val="minor"/>
    </font>
    <font>
      <sz val="12"/>
      <name val="Arial MT"/>
    </font>
    <font>
      <b/>
      <sz val="12"/>
      <name val="Arial"/>
      <family val="2"/>
    </font>
    <font>
      <sz val="12"/>
      <color indexed="16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indexed="12"/>
      <name val="Arial MT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59996337778862885"/>
      </patternFill>
    </fill>
    <fill>
      <patternFill patternType="gray125"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169" fontId="9" fillId="0" borderId="0"/>
    <xf numFmtId="0" fontId="31" fillId="0" borderId="0"/>
    <xf numFmtId="0" fontId="32" fillId="0" borderId="0"/>
    <xf numFmtId="0" fontId="33" fillId="0" borderId="0"/>
  </cellStyleXfs>
  <cellXfs count="224">
    <xf numFmtId="0" fontId="0" fillId="0" borderId="0" xfId="0"/>
    <xf numFmtId="0" fontId="3" fillId="0" borderId="0" xfId="0" applyFont="1"/>
    <xf numFmtId="0" fontId="5" fillId="2" borderId="7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7" xfId="0" applyFont="1" applyBorder="1" applyAlignment="1">
      <alignment shrinkToFit="1"/>
    </xf>
    <xf numFmtId="0" fontId="8" fillId="0" borderId="0" xfId="0" applyFont="1"/>
    <xf numFmtId="0" fontId="8" fillId="0" borderId="7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0" xfId="0" applyAlignment="1"/>
    <xf numFmtId="2" fontId="10" fillId="0" borderId="0" xfId="1" applyNumberFormat="1" applyFont="1" applyProtection="1"/>
    <xf numFmtId="169" fontId="11" fillId="0" borderId="0" xfId="1" applyNumberFormat="1" applyFont="1" applyProtection="1"/>
    <xf numFmtId="169" fontId="9" fillId="0" borderId="0" xfId="1" applyNumberFormat="1" applyProtection="1"/>
    <xf numFmtId="168" fontId="11" fillId="0" borderId="0" xfId="1" applyNumberFormat="1" applyFont="1" applyAlignment="1" applyProtection="1">
      <alignment horizontal="right"/>
    </xf>
    <xf numFmtId="2" fontId="11" fillId="0" borderId="0" xfId="1" applyNumberFormat="1" applyFont="1" applyAlignment="1" applyProtection="1">
      <alignment horizontal="right"/>
    </xf>
    <xf numFmtId="169" fontId="11" fillId="0" borderId="0" xfId="1" applyNumberFormat="1" applyFont="1" applyAlignment="1" applyProtection="1">
      <alignment horizontal="right"/>
    </xf>
    <xf numFmtId="168" fontId="11" fillId="0" borderId="0" xfId="1" applyNumberFormat="1" applyFont="1" applyProtection="1"/>
    <xf numFmtId="2" fontId="10" fillId="0" borderId="0" xfId="1" applyNumberFormat="1" applyFont="1" applyAlignment="1" applyProtection="1">
      <alignment horizontal="right"/>
    </xf>
    <xf numFmtId="169" fontId="10" fillId="0" borderId="0" xfId="1" applyNumberFormat="1" applyFont="1" applyProtection="1"/>
    <xf numFmtId="169" fontId="14" fillId="0" borderId="0" xfId="1" applyNumberFormat="1" applyFont="1" applyProtection="1"/>
    <xf numFmtId="2" fontId="11" fillId="0" borderId="0" xfId="1" applyNumberFormat="1" applyFont="1" applyProtection="1"/>
    <xf numFmtId="2" fontId="10" fillId="0" borderId="0" xfId="1" applyNumberFormat="1" applyFont="1" applyProtection="1">
      <protection locked="0"/>
    </xf>
    <xf numFmtId="169" fontId="12" fillId="0" borderId="0" xfId="1" applyNumberFormat="1" applyFont="1" applyAlignment="1" applyProtection="1">
      <alignment horizontal="left"/>
      <protection locked="0"/>
    </xf>
    <xf numFmtId="169" fontId="13" fillId="0" borderId="0" xfId="1" applyNumberFormat="1" applyFont="1" applyAlignment="1" applyProtection="1">
      <alignment horizontal="left"/>
      <protection locked="0"/>
    </xf>
    <xf numFmtId="169" fontId="16" fillId="0" borderId="0" xfId="1" applyNumberFormat="1" applyFont="1"/>
    <xf numFmtId="169" fontId="9" fillId="0" borderId="0" xfId="1" applyNumberFormat="1"/>
    <xf numFmtId="168" fontId="13" fillId="0" borderId="0" xfId="1" applyNumberFormat="1" applyFont="1" applyProtection="1">
      <protection locked="0"/>
    </xf>
    <xf numFmtId="169" fontId="10" fillId="0" borderId="0" xfId="1" applyNumberFormat="1" applyFont="1" applyAlignment="1" applyProtection="1">
      <alignment horizontal="left"/>
      <protection locked="0"/>
    </xf>
    <xf numFmtId="169" fontId="10" fillId="0" borderId="0" xfId="1" applyNumberFormat="1" applyFont="1" applyAlignment="1" applyProtection="1">
      <alignment horizontal="right"/>
      <protection locked="0"/>
    </xf>
    <xf numFmtId="168" fontId="10" fillId="0" borderId="0" xfId="1" applyNumberFormat="1" applyFont="1" applyAlignment="1" applyProtection="1">
      <alignment horizontal="fill"/>
      <protection locked="0"/>
    </xf>
    <xf numFmtId="2" fontId="10" fillId="0" borderId="0" xfId="1" applyNumberFormat="1" applyFont="1" applyAlignment="1" applyProtection="1">
      <alignment horizontal="fill"/>
      <protection locked="0"/>
    </xf>
    <xf numFmtId="2" fontId="10" fillId="0" borderId="0" xfId="1" applyNumberFormat="1" applyFont="1" applyAlignment="1" applyProtection="1">
      <alignment horizontal="right"/>
      <protection locked="0"/>
    </xf>
    <xf numFmtId="168" fontId="10" fillId="0" borderId="0" xfId="2" applyNumberFormat="1" applyFont="1" applyProtection="1">
      <protection locked="0"/>
    </xf>
    <xf numFmtId="0" fontId="11" fillId="0" borderId="0" xfId="2" applyFont="1" applyProtection="1"/>
    <xf numFmtId="169" fontId="10" fillId="0" borderId="0" xfId="2" applyNumberFormat="1" applyFont="1" applyProtection="1">
      <protection locked="0"/>
    </xf>
    <xf numFmtId="0" fontId="10" fillId="0" borderId="0" xfId="2" applyFont="1" applyProtection="1">
      <protection locked="0"/>
    </xf>
    <xf numFmtId="2" fontId="10" fillId="0" borderId="0" xfId="2" applyNumberFormat="1" applyFont="1" applyProtection="1">
      <protection locked="0"/>
    </xf>
    <xf numFmtId="0" fontId="16" fillId="0" borderId="0" xfId="2"/>
    <xf numFmtId="168" fontId="11" fillId="0" borderId="0" xfId="2" applyNumberFormat="1" applyFont="1" applyProtection="1"/>
    <xf numFmtId="169" fontId="10" fillId="0" borderId="0" xfId="2" applyNumberFormat="1" applyFont="1" applyAlignment="1" applyProtection="1">
      <alignment horizontal="right"/>
      <protection locked="0"/>
    </xf>
    <xf numFmtId="168" fontId="10" fillId="0" borderId="0" xfId="2" applyNumberFormat="1" applyFont="1" applyAlignment="1" applyProtection="1">
      <alignment horizontal="fill"/>
      <protection locked="0"/>
    </xf>
    <xf numFmtId="0" fontId="10" fillId="0" borderId="0" xfId="2" applyFont="1" applyAlignment="1" applyProtection="1">
      <alignment horizontal="right"/>
      <protection locked="0"/>
    </xf>
    <xf numFmtId="2" fontId="10" fillId="0" borderId="0" xfId="2" applyNumberFormat="1" applyFont="1" applyAlignment="1" applyProtection="1">
      <alignment horizontal="right"/>
      <protection locked="0"/>
    </xf>
    <xf numFmtId="169" fontId="11" fillId="0" borderId="0" xfId="3" applyNumberFormat="1" applyFont="1" applyProtection="1"/>
    <xf numFmtId="169" fontId="11" fillId="0" borderId="0" xfId="3" applyNumberFormat="1" applyFont="1" applyProtection="1">
      <protection locked="0"/>
    </xf>
    <xf numFmtId="169" fontId="17" fillId="0" borderId="0" xfId="3" applyNumberFormat="1" applyFont="1" applyProtection="1"/>
    <xf numFmtId="2" fontId="18" fillId="0" borderId="0" xfId="3" applyNumberFormat="1" applyFont="1" applyProtection="1"/>
    <xf numFmtId="169" fontId="17" fillId="0" borderId="0" xfId="3" applyNumberFormat="1" applyFont="1" applyProtection="1">
      <protection locked="0"/>
    </xf>
    <xf numFmtId="170" fontId="11" fillId="0" borderId="0" xfId="3" applyNumberFormat="1" applyFont="1" applyProtection="1"/>
    <xf numFmtId="169" fontId="10" fillId="0" borderId="0" xfId="3" applyNumberFormat="1" applyFont="1" applyAlignment="1" applyProtection="1">
      <alignment horizontal="right"/>
      <protection locked="0"/>
    </xf>
    <xf numFmtId="170" fontId="10" fillId="0" borderId="0" xfId="3" applyNumberFormat="1" applyFont="1" applyAlignment="1" applyProtection="1">
      <alignment horizontal="fill"/>
      <protection locked="0"/>
    </xf>
    <xf numFmtId="2" fontId="0" fillId="0" borderId="0" xfId="0" applyNumberFormat="1"/>
    <xf numFmtId="14" fontId="0" fillId="0" borderId="0" xfId="0" applyNumberFormat="1"/>
    <xf numFmtId="0" fontId="3" fillId="0" borderId="0" xfId="0" applyFont="1" applyBorder="1" applyAlignment="1" applyProtection="1">
      <protection hidden="1"/>
    </xf>
    <xf numFmtId="1" fontId="10" fillId="0" borderId="0" xfId="2" applyNumberFormat="1" applyFont="1" applyAlignment="1" applyProtection="1">
      <alignment horizontal="right"/>
      <protection locked="0"/>
    </xf>
    <xf numFmtId="1" fontId="10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Protection="1"/>
    <xf numFmtId="1" fontId="0" fillId="0" borderId="0" xfId="0" applyNumberFormat="1"/>
    <xf numFmtId="0" fontId="0" fillId="0" borderId="0" xfId="0" applyFont="1" applyBorder="1" applyAlignment="1" applyProtection="1">
      <protection hidden="1"/>
    </xf>
    <xf numFmtId="0" fontId="0" fillId="0" borderId="11" xfId="0" applyFill="1" applyBorder="1" applyAlignment="1">
      <alignment horizontal="center"/>
    </xf>
    <xf numFmtId="4" fontId="0" fillId="0" borderId="0" xfId="0" applyNumberFormat="1"/>
    <xf numFmtId="2" fontId="0" fillId="7" borderId="0" xfId="0" applyNumberFormat="1" applyFont="1" applyFill="1" applyBorder="1" applyAlignment="1">
      <alignment horizontal="right" shrinkToFit="1"/>
    </xf>
    <xf numFmtId="1" fontId="0" fillId="0" borderId="0" xfId="0" applyNumberFormat="1" applyAlignment="1">
      <alignment horizontal="right"/>
    </xf>
    <xf numFmtId="0" fontId="0" fillId="0" borderId="0" xfId="0" applyFont="1"/>
    <xf numFmtId="0" fontId="20" fillId="0" borderId="0" xfId="5" applyAlignment="1" applyProtection="1"/>
    <xf numFmtId="164" fontId="21" fillId="3" borderId="8" xfId="0" applyNumberFormat="1" applyFont="1" applyFill="1" applyBorder="1" applyAlignment="1">
      <alignment horizontal="center" shrinkToFit="1"/>
    </xf>
    <xf numFmtId="1" fontId="21" fillId="3" borderId="8" xfId="0" applyNumberFormat="1" applyFont="1" applyFill="1" applyBorder="1" applyAlignment="1">
      <alignment horizontal="center" shrinkToFit="1"/>
    </xf>
    <xf numFmtId="1" fontId="21" fillId="3" borderId="7" xfId="0" applyNumberFormat="1" applyFont="1" applyFill="1" applyBorder="1" applyAlignment="1">
      <alignment horizontal="center" shrinkToFi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23" fillId="10" borderId="7" xfId="0" applyFont="1" applyFill="1" applyBorder="1" applyAlignment="1"/>
    <xf numFmtId="0" fontId="23" fillId="2" borderId="9" xfId="0" applyFont="1" applyFill="1" applyBorder="1" applyAlignment="1"/>
    <xf numFmtId="0" fontId="24" fillId="8" borderId="8" xfId="0" applyFont="1" applyFill="1" applyBorder="1" applyAlignment="1"/>
    <xf numFmtId="2" fontId="10" fillId="0" borderId="0" xfId="4" applyNumberFormat="1" applyFont="1" applyProtection="1">
      <protection locked="0"/>
    </xf>
    <xf numFmtId="169" fontId="11" fillId="0" borderId="0" xfId="6" applyNumberFormat="1" applyFont="1" applyProtection="1"/>
    <xf numFmtId="2" fontId="18" fillId="0" borderId="0" xfId="6" applyNumberFormat="1" applyFont="1" applyProtection="1"/>
    <xf numFmtId="0" fontId="0" fillId="0" borderId="0" xfId="0" applyFill="1" applyBorder="1" applyAlignment="1">
      <alignment horizontal="center"/>
    </xf>
    <xf numFmtId="168" fontId="10" fillId="0" borderId="0" xfId="7" applyNumberFormat="1" applyFont="1" applyProtection="1">
      <protection locked="0"/>
    </xf>
    <xf numFmtId="0" fontId="32" fillId="0" borderId="0" xfId="9"/>
    <xf numFmtId="168" fontId="11" fillId="0" borderId="0" xfId="7" applyNumberFormat="1" applyFont="1" applyProtection="1"/>
    <xf numFmtId="0" fontId="33" fillId="0" borderId="0" xfId="10"/>
    <xf numFmtId="173" fontId="10" fillId="0" borderId="0" xfId="7" applyNumberFormat="1" applyFont="1" applyProtection="1"/>
    <xf numFmtId="173" fontId="30" fillId="0" borderId="0" xfId="7" applyNumberFormat="1" applyFont="1"/>
    <xf numFmtId="173" fontId="9" fillId="0" borderId="0" xfId="7" applyNumberFormat="1"/>
    <xf numFmtId="170" fontId="11" fillId="0" borderId="0" xfId="6" applyNumberFormat="1" applyFont="1" applyProtection="1"/>
    <xf numFmtId="2" fontId="8" fillId="3" borderId="8" xfId="0" applyNumberFormat="1" applyFont="1" applyFill="1" applyBorder="1" applyAlignment="1">
      <alignment horizontal="right" indent="1"/>
    </xf>
    <xf numFmtId="2" fontId="8" fillId="3" borderId="10" xfId="0" applyNumberFormat="1" applyFont="1" applyFill="1" applyBorder="1" applyAlignment="1">
      <alignment horizontal="right" indent="1"/>
    </xf>
    <xf numFmtId="1" fontId="8" fillId="3" borderId="8" xfId="0" applyNumberFormat="1" applyFont="1" applyFill="1" applyBorder="1" applyAlignment="1">
      <alignment horizontal="right" indent="1"/>
    </xf>
    <xf numFmtId="1" fontId="8" fillId="3" borderId="10" xfId="0" applyNumberFormat="1" applyFont="1" applyFill="1" applyBorder="1" applyAlignment="1">
      <alignment horizontal="right" indent="1"/>
    </xf>
    <xf numFmtId="0" fontId="5" fillId="2" borderId="7" xfId="0" applyFont="1" applyFill="1" applyBorder="1" applyAlignment="1">
      <alignment shrinkToFit="1"/>
    </xf>
    <xf numFmtId="2" fontId="7" fillId="4" borderId="7" xfId="0" applyNumberFormat="1" applyFont="1" applyFill="1" applyBorder="1" applyAlignment="1">
      <alignment horizontal="right" indent="1" shrinkToFit="1"/>
    </xf>
    <xf numFmtId="2" fontId="8" fillId="5" borderId="7" xfId="0" applyNumberFormat="1" applyFont="1" applyFill="1" applyBorder="1" applyAlignment="1">
      <alignment horizontal="right" indent="1" shrinkToFit="1"/>
    </xf>
    <xf numFmtId="2" fontId="8" fillId="9" borderId="7" xfId="0" applyNumberFormat="1" applyFont="1" applyFill="1" applyBorder="1" applyAlignment="1">
      <alignment horizontal="right" indent="1" shrinkToFit="1"/>
    </xf>
    <xf numFmtId="0" fontId="7" fillId="2" borderId="8" xfId="0" applyFont="1" applyFill="1" applyBorder="1" applyAlignment="1">
      <alignment horizontal="left" shrinkToFit="1"/>
    </xf>
    <xf numFmtId="0" fontId="7" fillId="2" borderId="9" xfId="0" applyFont="1" applyFill="1" applyBorder="1" applyAlignment="1">
      <alignment horizontal="left" shrinkToFit="1"/>
    </xf>
    <xf numFmtId="0" fontId="7" fillId="2" borderId="10" xfId="0" applyFont="1" applyFill="1" applyBorder="1" applyAlignment="1">
      <alignment horizontal="left" shrinkToFit="1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7" fontId="8" fillId="3" borderId="8" xfId="0" applyNumberFormat="1" applyFont="1" applyFill="1" applyBorder="1" applyAlignment="1">
      <alignment horizontal="right" indent="1"/>
    </xf>
    <xf numFmtId="167" fontId="8" fillId="3" borderId="10" xfId="0" applyNumberFormat="1" applyFont="1" applyFill="1" applyBorder="1" applyAlignment="1">
      <alignment horizontal="right" indent="1"/>
    </xf>
    <xf numFmtId="166" fontId="8" fillId="3" borderId="8" xfId="0" applyNumberFormat="1" applyFont="1" applyFill="1" applyBorder="1" applyAlignment="1">
      <alignment horizontal="right" indent="1"/>
    </xf>
    <xf numFmtId="166" fontId="8" fillId="3" borderId="10" xfId="0" applyNumberFormat="1" applyFont="1" applyFill="1" applyBorder="1" applyAlignment="1">
      <alignment horizontal="right" indent="1"/>
    </xf>
    <xf numFmtId="0" fontId="5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0" fillId="10" borderId="1" xfId="0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1" fontId="4" fillId="9" borderId="8" xfId="0" applyNumberFormat="1" applyFont="1" applyFill="1" applyBorder="1" applyAlignment="1">
      <alignment horizontal="center" shrinkToFit="1"/>
    </xf>
    <xf numFmtId="171" fontId="0" fillId="9" borderId="9" xfId="0" applyNumberFormat="1" applyFont="1" applyFill="1" applyBorder="1" applyAlignment="1">
      <alignment horizontal="center" shrinkToFit="1"/>
    </xf>
    <xf numFmtId="171" fontId="0" fillId="9" borderId="10" xfId="0" applyNumberFormat="1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" fontId="21" fillId="3" borderId="8" xfId="0" applyNumberFormat="1" applyFont="1" applyFill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9" xfId="0" applyFont="1" applyFill="1" applyBorder="1" applyAlignment="1">
      <alignment shrinkToFit="1"/>
    </xf>
    <xf numFmtId="0" fontId="5" fillId="2" borderId="10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7" xfId="0" applyFont="1" applyFill="1" applyBorder="1" applyAlignment="1"/>
    <xf numFmtId="164" fontId="21" fillId="3" borderId="8" xfId="0" applyNumberFormat="1" applyFont="1" applyFill="1" applyBorder="1" applyAlignment="1">
      <alignment horizontal="center" shrinkToFit="1"/>
    </xf>
    <xf numFmtId="0" fontId="22" fillId="0" borderId="9" xfId="0" applyFont="1" applyBorder="1" applyAlignment="1">
      <alignment horizontal="center" shrinkToFit="1"/>
    </xf>
    <xf numFmtId="0" fontId="22" fillId="0" borderId="10" xfId="0" applyFont="1" applyBorder="1" applyAlignment="1">
      <alignment horizontal="center" shrinkToFit="1"/>
    </xf>
    <xf numFmtId="164" fontId="15" fillId="9" borderId="8" xfId="0" applyNumberFormat="1" applyFont="1" applyFill="1" applyBorder="1" applyAlignment="1">
      <alignment horizontal="center" shrinkToFit="1"/>
    </xf>
    <xf numFmtId="164" fontId="15" fillId="9" borderId="9" xfId="0" applyNumberFormat="1" applyFont="1" applyFill="1" applyBorder="1" applyAlignment="1">
      <alignment horizontal="center" shrinkToFit="1"/>
    </xf>
    <xf numFmtId="0" fontId="8" fillId="9" borderId="10" xfId="0" applyFont="1" applyFill="1" applyBorder="1" applyAlignment="1">
      <alignment horizontal="center" shrinkToFit="1"/>
    </xf>
    <xf numFmtId="0" fontId="0" fillId="6" borderId="1" xfId="0" applyFill="1" applyBorder="1" applyAlignment="1"/>
    <xf numFmtId="0" fontId="0" fillId="1" borderId="2" xfId="0" applyFill="1" applyBorder="1" applyAlignment="1"/>
    <xf numFmtId="0" fontId="0" fillId="1" borderId="3" xfId="0" applyFill="1" applyBorder="1" applyAlignment="1"/>
    <xf numFmtId="0" fontId="0" fillId="1" borderId="4" xfId="0" applyFill="1" applyBorder="1" applyAlignment="1"/>
    <xf numFmtId="0" fontId="0" fillId="1" borderId="5" xfId="0" applyFill="1" applyBorder="1" applyAlignment="1"/>
    <xf numFmtId="0" fontId="0" fillId="1" borderId="6" xfId="0" applyFill="1" applyBorder="1" applyAlignment="1"/>
    <xf numFmtId="0" fontId="8" fillId="10" borderId="7" xfId="0" applyFont="1" applyFill="1" applyBorder="1" applyAlignment="1">
      <alignment horizontal="center"/>
    </xf>
    <xf numFmtId="0" fontId="0" fillId="10" borderId="7" xfId="0" applyFill="1" applyBorder="1" applyAlignment="1"/>
    <xf numFmtId="0" fontId="0" fillId="0" borderId="7" xfId="0" applyBorder="1" applyAlignment="1">
      <alignment horizontal="center"/>
    </xf>
    <xf numFmtId="165" fontId="8" fillId="9" borderId="8" xfId="0" applyNumberFormat="1" applyFont="1" applyFill="1" applyBorder="1" applyAlignment="1">
      <alignment horizontal="right" indent="1" shrinkToFit="1"/>
    </xf>
    <xf numFmtId="165" fontId="8" fillId="9" borderId="9" xfId="0" applyNumberFormat="1" applyFont="1" applyFill="1" applyBorder="1" applyAlignment="1">
      <alignment horizontal="right" indent="1" shrinkToFit="1"/>
    </xf>
    <xf numFmtId="165" fontId="8" fillId="9" borderId="10" xfId="0" applyNumberFormat="1" applyFont="1" applyFill="1" applyBorder="1" applyAlignment="1">
      <alignment horizontal="right" indent="1" shrinkToFit="1"/>
    </xf>
    <xf numFmtId="2" fontId="8" fillId="10" borderId="7" xfId="0" applyNumberFormat="1" applyFont="1" applyFill="1" applyBorder="1" applyAlignment="1">
      <alignment horizontal="center" shrinkToFit="1"/>
    </xf>
    <xf numFmtId="0" fontId="3" fillId="2" borderId="7" xfId="0" applyFont="1" applyFill="1" applyBorder="1" applyAlignment="1">
      <alignment shrinkToFit="1"/>
    </xf>
    <xf numFmtId="0" fontId="7" fillId="2" borderId="7" xfId="0" applyFont="1" applyFill="1" applyBorder="1" applyAlignment="1"/>
    <xf numFmtId="2" fontId="8" fillId="3" borderId="7" xfId="0" applyNumberFormat="1" applyFont="1" applyFill="1" applyBorder="1" applyAlignment="1">
      <alignment horizontal="right" indent="1" shrinkToFit="1"/>
    </xf>
    <xf numFmtId="0" fontId="6" fillId="0" borderId="7" xfId="0" applyFont="1" applyBorder="1" applyAlignment="1">
      <alignment shrinkToFit="1"/>
    </xf>
    <xf numFmtId="0" fontId="0" fillId="10" borderId="8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25" fillId="4" borderId="8" xfId="0" applyNumberFormat="1" applyFont="1" applyFill="1" applyBorder="1" applyAlignment="1">
      <alignment horizontal="right" indent="1"/>
    </xf>
    <xf numFmtId="3" fontId="25" fillId="4" borderId="10" xfId="0" applyNumberFormat="1" applyFont="1" applyFill="1" applyBorder="1" applyAlignment="1">
      <alignment horizontal="right" indent="1"/>
    </xf>
    <xf numFmtId="167" fontId="26" fillId="4" borderId="8" xfId="0" applyNumberFormat="1" applyFont="1" applyFill="1" applyBorder="1" applyAlignment="1">
      <alignment horizontal="right" indent="1"/>
    </xf>
    <xf numFmtId="167" fontId="26" fillId="4" borderId="10" xfId="0" applyNumberFormat="1" applyFont="1" applyFill="1" applyBorder="1" applyAlignment="1">
      <alignment horizontal="right" indent="1"/>
    </xf>
    <xf numFmtId="1" fontId="24" fillId="8" borderId="8" xfId="0" applyNumberFormat="1" applyFont="1" applyFill="1" applyBorder="1" applyAlignment="1">
      <alignment horizontal="left" indent="2"/>
    </xf>
    <xf numFmtId="1" fontId="24" fillId="8" borderId="10" xfId="0" applyNumberFormat="1" applyFont="1" applyFill="1" applyBorder="1" applyAlignment="1">
      <alignment horizontal="left" indent="2"/>
    </xf>
    <xf numFmtId="167" fontId="25" fillId="3" borderId="8" xfId="0" applyNumberFormat="1" applyFont="1" applyFill="1" applyBorder="1" applyAlignment="1">
      <alignment horizontal="right" indent="1"/>
    </xf>
    <xf numFmtId="167" fontId="25" fillId="3" borderId="10" xfId="0" applyNumberFormat="1" applyFont="1" applyFill="1" applyBorder="1" applyAlignment="1">
      <alignment horizontal="right" indent="1"/>
    </xf>
    <xf numFmtId="167" fontId="23" fillId="4" borderId="8" xfId="0" applyNumberFormat="1" applyFont="1" applyFill="1" applyBorder="1" applyAlignment="1">
      <alignment horizontal="right" indent="1"/>
    </xf>
    <xf numFmtId="167" fontId="23" fillId="4" borderId="10" xfId="0" applyNumberFormat="1" applyFont="1" applyFill="1" applyBorder="1" applyAlignment="1">
      <alignment horizontal="right" indent="1"/>
    </xf>
    <xf numFmtId="0" fontId="23" fillId="2" borderId="8" xfId="0" applyFont="1" applyFill="1" applyBorder="1" applyAlignment="1">
      <alignment horizontal="left" indent="2"/>
    </xf>
    <xf numFmtId="0" fontId="23" fillId="2" borderId="9" xfId="0" applyFont="1" applyFill="1" applyBorder="1" applyAlignment="1">
      <alignment horizontal="left" indent="2"/>
    </xf>
    <xf numFmtId="0" fontId="23" fillId="2" borderId="10" xfId="0" applyFont="1" applyFill="1" applyBorder="1" applyAlignment="1">
      <alignment horizontal="left" indent="2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8" borderId="8" xfId="0" applyFont="1" applyFill="1" applyBorder="1" applyAlignment="1"/>
    <xf numFmtId="0" fontId="24" fillId="8" borderId="9" xfId="0" applyFont="1" applyFill="1" applyBorder="1" applyAlignment="1"/>
    <xf numFmtId="0" fontId="24" fillId="8" borderId="10" xfId="0" applyFont="1" applyFill="1" applyBorder="1" applyAlignment="1"/>
    <xf numFmtId="0" fontId="26" fillId="2" borderId="8" xfId="0" applyFont="1" applyFill="1" applyBorder="1" applyAlignment="1">
      <alignment horizontal="left" indent="3"/>
    </xf>
    <xf numFmtId="0" fontId="26" fillId="2" borderId="9" xfId="0" applyFont="1" applyFill="1" applyBorder="1" applyAlignment="1">
      <alignment horizontal="left" indent="3"/>
    </xf>
    <xf numFmtId="0" fontId="26" fillId="2" borderId="10" xfId="0" applyFont="1" applyFill="1" applyBorder="1" applyAlignment="1">
      <alignment horizontal="left" indent="3"/>
    </xf>
    <xf numFmtId="0" fontId="24" fillId="2" borderId="8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left" indent="2"/>
    </xf>
    <xf numFmtId="0" fontId="26" fillId="2" borderId="9" xfId="0" applyFont="1" applyFill="1" applyBorder="1" applyAlignment="1">
      <alignment horizontal="left" indent="2"/>
    </xf>
    <xf numFmtId="0" fontId="26" fillId="2" borderId="10" xfId="0" applyFont="1" applyFill="1" applyBorder="1" applyAlignment="1">
      <alignment horizontal="left" indent="2"/>
    </xf>
    <xf numFmtId="0" fontId="24" fillId="8" borderId="8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0" fillId="0" borderId="0" xfId="0" applyAlignment="1"/>
    <xf numFmtId="0" fontId="23" fillId="10" borderId="8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/>
    </xf>
    <xf numFmtId="1" fontId="24" fillId="9" borderId="8" xfId="0" applyNumberFormat="1" applyFont="1" applyFill="1" applyBorder="1" applyAlignment="1">
      <alignment horizontal="center"/>
    </xf>
    <xf numFmtId="1" fontId="24" fillId="9" borderId="10" xfId="0" applyNumberFormat="1" applyFont="1" applyFill="1" applyBorder="1" applyAlignment="1">
      <alignment horizontal="center"/>
    </xf>
    <xf numFmtId="3" fontId="25" fillId="3" borderId="8" xfId="0" applyNumberFormat="1" applyFont="1" applyFill="1" applyBorder="1" applyAlignment="1">
      <alignment horizontal="right" indent="1"/>
    </xf>
    <xf numFmtId="3" fontId="25" fillId="3" borderId="10" xfId="0" applyNumberFormat="1" applyFont="1" applyFill="1" applyBorder="1" applyAlignment="1">
      <alignment horizontal="right" indent="1"/>
    </xf>
    <xf numFmtId="167" fontId="27" fillId="4" borderId="8" xfId="0" applyNumberFormat="1" applyFont="1" applyFill="1" applyBorder="1" applyAlignment="1">
      <alignment horizontal="right" indent="1"/>
    </xf>
    <xf numFmtId="167" fontId="27" fillId="4" borderId="10" xfId="0" applyNumberFormat="1" applyFont="1" applyFill="1" applyBorder="1" applyAlignment="1">
      <alignment horizontal="right" indent="1"/>
    </xf>
    <xf numFmtId="167" fontId="25" fillId="9" borderId="8" xfId="0" applyNumberFormat="1" applyFont="1" applyFill="1" applyBorder="1" applyAlignment="1">
      <alignment horizontal="right" indent="1"/>
    </xf>
    <xf numFmtId="167" fontId="25" fillId="9" borderId="10" xfId="0" applyNumberFormat="1" applyFont="1" applyFill="1" applyBorder="1" applyAlignment="1">
      <alignment horizontal="right" indent="1"/>
    </xf>
    <xf numFmtId="0" fontId="23" fillId="2" borderId="8" xfId="0" applyFont="1" applyFill="1" applyBorder="1" applyAlignment="1"/>
    <xf numFmtId="0" fontId="23" fillId="2" borderId="9" xfId="0" applyFont="1" applyFill="1" applyBorder="1" applyAlignment="1"/>
    <xf numFmtId="0" fontId="23" fillId="2" borderId="10" xfId="0" applyFont="1" applyFill="1" applyBorder="1" applyAlignment="1"/>
    <xf numFmtId="0" fontId="23" fillId="10" borderId="8" xfId="0" applyFont="1" applyFill="1" applyBorder="1" applyAlignment="1"/>
    <xf numFmtId="0" fontId="23" fillId="10" borderId="9" xfId="0" applyFont="1" applyFill="1" applyBorder="1" applyAlignment="1"/>
    <xf numFmtId="0" fontId="23" fillId="10" borderId="10" xfId="0" applyFont="1" applyFill="1" applyBorder="1" applyAlignment="1"/>
    <xf numFmtId="0" fontId="24" fillId="8" borderId="8" xfId="0" applyFont="1" applyFill="1" applyBorder="1" applyAlignment="1">
      <alignment horizontal="left"/>
    </xf>
    <xf numFmtId="0" fontId="24" fillId="8" borderId="10" xfId="0" applyFont="1" applyFill="1" applyBorder="1" applyAlignment="1">
      <alignment horizontal="left"/>
    </xf>
    <xf numFmtId="172" fontId="24" fillId="3" borderId="8" xfId="0" applyNumberFormat="1" applyFont="1" applyFill="1" applyBorder="1" applyAlignment="1">
      <alignment horizontal="right" indent="1"/>
    </xf>
    <xf numFmtId="172" fontId="24" fillId="3" borderId="10" xfId="0" applyNumberFormat="1" applyFont="1" applyFill="1" applyBorder="1" applyAlignment="1">
      <alignment horizontal="right" indent="1"/>
    </xf>
    <xf numFmtId="167" fontId="24" fillId="3" borderId="8" xfId="0" applyNumberFormat="1" applyFont="1" applyFill="1" applyBorder="1" applyAlignment="1">
      <alignment horizontal="right" indent="1"/>
    </xf>
    <xf numFmtId="167" fontId="24" fillId="3" borderId="10" xfId="0" applyNumberFormat="1" applyFont="1" applyFill="1" applyBorder="1" applyAlignment="1">
      <alignment horizontal="right" indent="1"/>
    </xf>
    <xf numFmtId="0" fontId="23" fillId="2" borderId="8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left"/>
    </xf>
    <xf numFmtId="0" fontId="24" fillId="3" borderId="8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</cellXfs>
  <cellStyles count="11">
    <cellStyle name="Hyperlink" xfId="5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9" xr:uid="{00000000-0005-0000-0000-000004000000}"/>
    <cellStyle name="Normal 2 3" xfId="7" xr:uid="{00000000-0005-0000-0000-000005000000}"/>
    <cellStyle name="Normal 3" xfId="10" xr:uid="{00000000-0005-0000-0000-000006000000}"/>
    <cellStyle name="Normal 6" xfId="8" xr:uid="{00000000-0005-0000-0000-000007000000}"/>
    <cellStyle name="Normal_auctions oklahoma" xfId="2" xr:uid="{00000000-0005-0000-0000-000008000000}"/>
    <cellStyle name="Normal_combined auction OK" xfId="1" xr:uid="{00000000-0005-0000-0000-000009000000}"/>
    <cellStyle name="Normal_feederfutures" xfId="3" xr:uid="{00000000-0005-0000-0000-00000A000000}"/>
  </cellStyles>
  <dxfs count="0"/>
  <tableStyles count="0" defaultTableStyle="TableStyleMedium9" defaultPivotStyle="PivotStyleLight16"/>
  <colors>
    <mruColors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2</xdr:row>
      <xdr:rowOff>819150</xdr:rowOff>
    </xdr:from>
    <xdr:to>
      <xdr:col>9</xdr:col>
      <xdr:colOff>542924</xdr:colOff>
      <xdr:row>2</xdr:row>
      <xdr:rowOff>1685924</xdr:rowOff>
    </xdr:to>
    <xdr:pic>
      <xdr:nvPicPr>
        <xdr:cNvPr id="2" name="Picture 1" descr="Extensionlogo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49" y="1200150"/>
          <a:ext cx="866775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2</xdr:row>
      <xdr:rowOff>809624</xdr:rowOff>
    </xdr:from>
    <xdr:to>
      <xdr:col>2</xdr:col>
      <xdr:colOff>295276</xdr:colOff>
      <xdr:row>2</xdr:row>
      <xdr:rowOff>1695449</xdr:rowOff>
    </xdr:to>
    <xdr:pic>
      <xdr:nvPicPr>
        <xdr:cNvPr id="3" name="Picture 2" descr="Research+logo7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6" y="1190624"/>
          <a:ext cx="8572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</xdr:row>
          <xdr:rowOff>30480</xdr:rowOff>
        </xdr:from>
        <xdr:to>
          <xdr:col>8</xdr:col>
          <xdr:colOff>464820</xdr:colOff>
          <xdr:row>11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PRICE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25</xdr:row>
          <xdr:rowOff>83820</xdr:rowOff>
        </xdr:from>
        <xdr:to>
          <xdr:col>12</xdr:col>
          <xdr:colOff>160020</xdr:colOff>
          <xdr:row>28</xdr:row>
          <xdr:rowOff>7620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Return to Inputs Page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</xdr:colOff>
          <xdr:row>29</xdr:row>
          <xdr:rowOff>76200</xdr:rowOff>
        </xdr:from>
        <xdr:to>
          <xdr:col>12</xdr:col>
          <xdr:colOff>160020</xdr:colOff>
          <xdr:row>32</xdr:row>
          <xdr:rowOff>7620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Cancel and Return to Inputs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tension\stocker%20planner\Wheat%20stocker%20budget\stocker%20purch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attle"/>
      <sheetName val="profit-steers"/>
      <sheetName val="lists"/>
      <sheetName val="Inputs"/>
      <sheetName val="Steers"/>
      <sheetName val="Steer cost of gain"/>
    </sheetNames>
    <sheetDataSet>
      <sheetData sheetId="0"/>
      <sheetData sheetId="1"/>
      <sheetData sheetId="2"/>
      <sheetData sheetId="3">
        <row r="2">
          <cell r="A2">
            <v>300</v>
          </cell>
          <cell r="C2" t="str">
            <v>Steers</v>
          </cell>
        </row>
        <row r="3">
          <cell r="A3">
            <v>350</v>
          </cell>
          <cell r="C3" t="str">
            <v>Heifers</v>
          </cell>
        </row>
        <row r="4">
          <cell r="A4">
            <v>400</v>
          </cell>
          <cell r="C4" t="str">
            <v>Steers and Heifers</v>
          </cell>
        </row>
        <row r="5">
          <cell r="A5">
            <v>450</v>
          </cell>
        </row>
        <row r="6">
          <cell r="A6">
            <v>500</v>
          </cell>
        </row>
        <row r="7">
          <cell r="A7">
            <v>550</v>
          </cell>
        </row>
        <row r="8">
          <cell r="A8">
            <v>600</v>
          </cell>
        </row>
        <row r="9">
          <cell r="A9">
            <v>650</v>
          </cell>
        </row>
        <row r="10">
          <cell r="A10">
            <v>700</v>
          </cell>
        </row>
        <row r="11">
          <cell r="A11">
            <v>750</v>
          </cell>
        </row>
        <row r="12">
          <cell r="A12">
            <v>800</v>
          </cell>
        </row>
      </sheetData>
      <sheetData sheetId="4"/>
      <sheetData sheetId="5">
        <row r="2">
          <cell r="A2">
            <v>300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gecon.okstate.edu/faculty/publications/32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53"/>
  <sheetViews>
    <sheetView tabSelected="1" zoomScale="85" zoomScaleNormal="85" workbookViewId="0">
      <selection activeCell="O35" sqref="O35"/>
    </sheetView>
  </sheetViews>
  <sheetFormatPr defaultRowHeight="14.4"/>
  <cols>
    <col min="1" max="1" width="3.5546875" customWidth="1"/>
  </cols>
  <sheetData>
    <row r="2" spans="2:17">
      <c r="B2" s="108" t="s">
        <v>206</v>
      </c>
      <c r="C2" s="109"/>
      <c r="D2" s="109"/>
      <c r="E2" s="109"/>
      <c r="F2" s="109"/>
      <c r="G2" s="109"/>
      <c r="H2" s="109"/>
      <c r="I2" s="109"/>
      <c r="J2" s="110"/>
    </row>
    <row r="3" spans="2:17" ht="146.25" customHeight="1">
      <c r="B3" s="111"/>
      <c r="C3" s="112"/>
      <c r="D3" s="112"/>
      <c r="E3" s="112"/>
      <c r="F3" s="112"/>
      <c r="G3" s="112"/>
      <c r="H3" s="112"/>
      <c r="I3" s="112"/>
      <c r="J3" s="113"/>
    </row>
    <row r="4" spans="2:17" ht="12.75" customHeight="1">
      <c r="I4" s="163" t="s">
        <v>216</v>
      </c>
      <c r="J4" s="163"/>
    </row>
    <row r="5" spans="2:17" ht="11.25" customHeight="1"/>
    <row r="6" spans="2:17" ht="23.4">
      <c r="B6" s="2" t="s">
        <v>0</v>
      </c>
      <c r="C6" s="114" t="s">
        <v>209</v>
      </c>
      <c r="D6" s="115"/>
      <c r="E6" s="116"/>
      <c r="G6" s="12"/>
      <c r="H6" s="12"/>
      <c r="I6" s="161" t="s">
        <v>207</v>
      </c>
      <c r="J6" s="162"/>
    </row>
    <row r="7" spans="2:17" ht="21">
      <c r="B7" s="2" t="s">
        <v>1</v>
      </c>
      <c r="C7" s="117">
        <v>42958</v>
      </c>
      <c r="D7" s="118"/>
      <c r="E7" s="119"/>
      <c r="G7" s="12"/>
      <c r="H7" s="12"/>
      <c r="I7" s="12"/>
      <c r="J7" s="12"/>
    </row>
    <row r="9" spans="2:17" ht="23.4">
      <c r="B9" s="128" t="s">
        <v>72</v>
      </c>
      <c r="C9" s="129"/>
      <c r="D9" s="129"/>
      <c r="E9" s="129"/>
      <c r="F9" s="129"/>
      <c r="G9" s="130"/>
      <c r="H9" s="138" t="s">
        <v>41</v>
      </c>
      <c r="I9" s="139"/>
      <c r="J9" s="140"/>
    </row>
    <row r="10" spans="2:17" ht="23.25" customHeight="1">
      <c r="B10" s="137" t="s">
        <v>42</v>
      </c>
      <c r="C10" s="137"/>
      <c r="D10" s="137"/>
      <c r="E10" s="137"/>
      <c r="F10" s="137"/>
      <c r="G10" s="137"/>
      <c r="H10" s="141">
        <f>IF(H9="OKC",'OKC prices'!A1,'combined prices'!A1)</f>
        <v>42958</v>
      </c>
      <c r="I10" s="142"/>
      <c r="J10" s="143"/>
    </row>
    <row r="11" spans="2:17" ht="16.5" customHeight="1">
      <c r="B11" s="131" t="s">
        <v>11</v>
      </c>
      <c r="C11" s="132"/>
      <c r="D11" s="132"/>
      <c r="E11" s="132"/>
      <c r="F11" s="133"/>
      <c r="G11" s="144"/>
      <c r="H11" s="145"/>
      <c r="I11" s="146"/>
    </row>
    <row r="12" spans="2:17" ht="16.5" customHeight="1">
      <c r="B12" s="134"/>
      <c r="C12" s="135"/>
      <c r="D12" s="135"/>
      <c r="E12" s="135"/>
      <c r="F12" s="136"/>
      <c r="G12" s="147"/>
      <c r="H12" s="148"/>
      <c r="I12" s="149"/>
    </row>
    <row r="14" spans="2:17" ht="23.4">
      <c r="B14" s="123" t="s">
        <v>5</v>
      </c>
      <c r="C14" s="123"/>
      <c r="D14" s="123"/>
      <c r="E14" s="124"/>
      <c r="F14" s="68" t="s">
        <v>140</v>
      </c>
      <c r="G14" s="69">
        <v>1</v>
      </c>
      <c r="H14" s="70">
        <v>2017</v>
      </c>
      <c r="K14" s="11"/>
    </row>
    <row r="15" spans="2:17" ht="23.4">
      <c r="B15" s="123" t="s">
        <v>2</v>
      </c>
      <c r="C15" s="123"/>
      <c r="D15" s="123"/>
      <c r="E15" s="124"/>
      <c r="F15" s="125">
        <v>14</v>
      </c>
      <c r="G15" s="126"/>
      <c r="H15" s="127"/>
    </row>
    <row r="16" spans="2:17" ht="23.25" customHeight="1">
      <c r="B16" s="123" t="s">
        <v>3</v>
      </c>
      <c r="C16" s="123"/>
      <c r="D16" s="123"/>
      <c r="E16" s="124"/>
      <c r="F16" s="125">
        <v>105</v>
      </c>
      <c r="G16" s="126"/>
      <c r="H16" s="127"/>
      <c r="I16" s="3"/>
      <c r="J16" s="3"/>
      <c r="K16" s="3"/>
      <c r="L16" s="3"/>
      <c r="N16" s="3"/>
      <c r="O16" s="3"/>
      <c r="P16" s="4"/>
      <c r="Q16" s="4"/>
    </row>
    <row r="17" spans="2:9" ht="21.75" customHeight="1">
      <c r="B17" s="123" t="s">
        <v>4</v>
      </c>
      <c r="C17" s="123"/>
      <c r="D17" s="123"/>
      <c r="E17" s="124"/>
      <c r="F17" s="120">
        <f>IF(VLOOKUP(F14,lists!A7:B18,2,FALSE)+F15+F16-365+G14&lt;0,VLOOKUP(F14,lists!A7:B18,2,FALSE)+F15+F16+G14,VLOOKUP(F14,lists!A7:B18,2,FALSE)+F15+F16-365+G14)</f>
        <v>59</v>
      </c>
      <c r="G17" s="121"/>
      <c r="H17" s="122"/>
    </row>
    <row r="18" spans="2:9" ht="16.5" customHeight="1">
      <c r="B18" s="10"/>
      <c r="C18" s="10"/>
      <c r="D18" s="10"/>
      <c r="E18" s="10"/>
      <c r="F18" s="10"/>
      <c r="G18" s="10"/>
      <c r="H18" s="10"/>
    </row>
    <row r="19" spans="2:9" ht="22.5" customHeight="1">
      <c r="B19" s="1"/>
      <c r="C19" s="1"/>
      <c r="D19" s="1"/>
      <c r="F19" s="106" t="s">
        <v>6</v>
      </c>
      <c r="G19" s="106"/>
      <c r="H19" s="106" t="s">
        <v>7</v>
      </c>
      <c r="I19" s="106"/>
    </row>
    <row r="20" spans="2:9" ht="21">
      <c r="B20" s="107" t="s">
        <v>9</v>
      </c>
      <c r="C20" s="107"/>
      <c r="D20" s="107"/>
      <c r="E20" s="7" t="s">
        <v>73</v>
      </c>
      <c r="F20" s="90">
        <v>425</v>
      </c>
      <c r="G20" s="91"/>
      <c r="H20" s="90">
        <v>450</v>
      </c>
      <c r="I20" s="91"/>
    </row>
    <row r="21" spans="2:9" ht="21">
      <c r="B21" s="99" t="s">
        <v>10</v>
      </c>
      <c r="C21" s="100"/>
      <c r="D21" s="101"/>
      <c r="E21" s="7" t="s">
        <v>28</v>
      </c>
      <c r="F21" s="88">
        <v>181.66284628475412</v>
      </c>
      <c r="G21" s="89"/>
      <c r="H21" s="88">
        <v>150.76565802460027</v>
      </c>
      <c r="I21" s="89"/>
    </row>
    <row r="22" spans="2:9" ht="21">
      <c r="B22" s="99" t="s">
        <v>12</v>
      </c>
      <c r="C22" s="100"/>
      <c r="D22" s="101"/>
      <c r="E22" s="7" t="s">
        <v>13</v>
      </c>
      <c r="F22" s="95">
        <f>F20*F21/100</f>
        <v>772.06709671020508</v>
      </c>
      <c r="G22" s="95"/>
      <c r="H22" s="95">
        <f>H20*H21/100</f>
        <v>678.4454611107011</v>
      </c>
      <c r="I22" s="95"/>
    </row>
    <row r="23" spans="2:9" ht="21" customHeight="1">
      <c r="B23" s="6"/>
      <c r="C23" s="6"/>
      <c r="D23" s="6"/>
      <c r="E23" s="8"/>
      <c r="F23" s="6"/>
      <c r="G23" s="6"/>
      <c r="H23" s="6"/>
      <c r="I23" s="6"/>
    </row>
    <row r="24" spans="2:9" ht="21">
      <c r="B24" s="96" t="s">
        <v>14</v>
      </c>
      <c r="C24" s="97"/>
      <c r="D24" s="98"/>
      <c r="E24" s="7" t="s">
        <v>74</v>
      </c>
      <c r="F24" s="88">
        <v>1.25</v>
      </c>
      <c r="G24" s="89"/>
      <c r="H24" s="88">
        <v>1</v>
      </c>
      <c r="I24" s="89"/>
    </row>
    <row r="25" spans="2:9" ht="21">
      <c r="B25" s="96" t="s">
        <v>15</v>
      </c>
      <c r="C25" s="97"/>
      <c r="D25" s="98"/>
      <c r="E25" s="7" t="s">
        <v>74</v>
      </c>
      <c r="F25" s="88">
        <v>2.5</v>
      </c>
      <c r="G25" s="89"/>
      <c r="H25" s="88">
        <v>2</v>
      </c>
      <c r="I25" s="89"/>
    </row>
    <row r="26" spans="2:9" ht="21">
      <c r="B26" s="96" t="s">
        <v>16</v>
      </c>
      <c r="C26" s="97"/>
      <c r="D26" s="98"/>
      <c r="E26" s="7" t="s">
        <v>17</v>
      </c>
      <c r="F26" s="104">
        <v>5.0000000000000001E-3</v>
      </c>
      <c r="G26" s="105"/>
      <c r="H26" s="104">
        <v>5.0000000000000001E-3</v>
      </c>
      <c r="I26" s="105"/>
    </row>
    <row r="27" spans="2:9" ht="21">
      <c r="B27" s="96" t="s">
        <v>18</v>
      </c>
      <c r="C27" s="97"/>
      <c r="D27" s="98"/>
      <c r="E27" s="7" t="s">
        <v>19</v>
      </c>
      <c r="F27" s="88">
        <v>0.48</v>
      </c>
      <c r="G27" s="89"/>
      <c r="H27" s="88">
        <v>0.48</v>
      </c>
      <c r="I27" s="89"/>
    </row>
    <row r="28" spans="2:9" ht="21">
      <c r="B28" s="96"/>
      <c r="C28" s="97"/>
      <c r="D28" s="98"/>
      <c r="E28" s="7" t="s">
        <v>75</v>
      </c>
      <c r="F28" s="153">
        <f>F20*F27</f>
        <v>204</v>
      </c>
      <c r="G28" s="154"/>
      <c r="H28" s="153">
        <f>H20*H27</f>
        <v>216</v>
      </c>
      <c r="I28" s="155"/>
    </row>
    <row r="30" spans="2:9" ht="21">
      <c r="B30" s="96" t="s">
        <v>20</v>
      </c>
      <c r="C30" s="97"/>
      <c r="D30" s="98"/>
      <c r="E30" s="7" t="s">
        <v>13</v>
      </c>
      <c r="F30" s="102">
        <v>5</v>
      </c>
      <c r="G30" s="103"/>
      <c r="H30" s="102">
        <v>5</v>
      </c>
      <c r="I30" s="103"/>
    </row>
    <row r="31" spans="2:9" ht="21">
      <c r="B31" s="96" t="s">
        <v>21</v>
      </c>
      <c r="C31" s="97"/>
      <c r="D31" s="98"/>
      <c r="E31" s="7" t="s">
        <v>13</v>
      </c>
      <c r="F31" s="102">
        <v>5</v>
      </c>
      <c r="G31" s="103"/>
      <c r="H31" s="102">
        <v>5</v>
      </c>
      <c r="I31" s="103"/>
    </row>
    <row r="32" spans="2:9" ht="21">
      <c r="B32" s="96" t="s">
        <v>77</v>
      </c>
      <c r="C32" s="97"/>
      <c r="D32" s="98"/>
      <c r="E32" s="7" t="s">
        <v>13</v>
      </c>
      <c r="F32" s="102">
        <v>0</v>
      </c>
      <c r="G32" s="103"/>
      <c r="H32" s="102">
        <v>0</v>
      </c>
      <c r="I32" s="103"/>
    </row>
    <row r="33" spans="2:13" ht="21">
      <c r="B33" s="96" t="s">
        <v>204</v>
      </c>
      <c r="C33" s="97"/>
      <c r="D33" s="98"/>
      <c r="E33" s="7" t="s">
        <v>76</v>
      </c>
      <c r="F33" s="102">
        <v>0.55000000000000004</v>
      </c>
      <c r="G33" s="103"/>
      <c r="H33" s="102">
        <v>0.55000000000000004</v>
      </c>
      <c r="I33" s="103"/>
    </row>
    <row r="34" spans="2:13">
      <c r="E34" s="9"/>
      <c r="F34" s="71"/>
      <c r="G34" s="71"/>
      <c r="H34" s="71"/>
      <c r="I34" s="71"/>
    </row>
    <row r="35" spans="2:13" ht="21">
      <c r="B35" s="96" t="s">
        <v>23</v>
      </c>
      <c r="C35" s="97"/>
      <c r="D35" s="98"/>
      <c r="E35" s="7" t="s">
        <v>24</v>
      </c>
      <c r="F35" s="104">
        <v>0.05</v>
      </c>
      <c r="G35" s="105"/>
      <c r="H35" s="72"/>
      <c r="I35" s="72"/>
    </row>
    <row r="37" spans="2:13" ht="9" customHeight="1"/>
    <row r="38" spans="2:13" ht="21">
      <c r="B38" s="150" t="s">
        <v>25</v>
      </c>
      <c r="C38" s="150"/>
      <c r="D38" s="150"/>
      <c r="E38" s="150"/>
      <c r="F38" s="150"/>
      <c r="G38" s="150"/>
      <c r="H38" s="150"/>
      <c r="I38" s="151"/>
      <c r="J38" s="151"/>
      <c r="K38" s="151"/>
      <c r="L38" s="151"/>
      <c r="M38" s="151"/>
    </row>
    <row r="39" spans="2:13" ht="18">
      <c r="B39" s="152"/>
      <c r="C39" s="152"/>
      <c r="D39" s="152"/>
      <c r="E39" s="152"/>
      <c r="F39" s="106" t="s">
        <v>6</v>
      </c>
      <c r="G39" s="106"/>
      <c r="H39" s="106"/>
      <c r="I39" s="106"/>
      <c r="J39" s="106" t="s">
        <v>7</v>
      </c>
      <c r="K39" s="106"/>
      <c r="L39" s="106"/>
      <c r="M39" s="106"/>
    </row>
    <row r="40" spans="2:13" ht="21">
      <c r="B40" s="158" t="s">
        <v>29</v>
      </c>
      <c r="C40" s="158"/>
      <c r="D40" s="158"/>
      <c r="E40" s="158"/>
      <c r="F40" s="156" t="s">
        <v>30</v>
      </c>
      <c r="G40" s="156"/>
      <c r="H40" s="156" t="s">
        <v>31</v>
      </c>
      <c r="I40" s="156"/>
      <c r="J40" s="156" t="s">
        <v>30</v>
      </c>
      <c r="K40" s="156"/>
      <c r="L40" s="156" t="s">
        <v>31</v>
      </c>
      <c r="M40" s="156"/>
    </row>
    <row r="41" spans="2:13" ht="21">
      <c r="B41" s="157" t="s">
        <v>26</v>
      </c>
      <c r="C41" s="157"/>
      <c r="D41" s="157"/>
      <c r="E41" s="5" t="s">
        <v>8</v>
      </c>
      <c r="F41" s="95">
        <f>(F20+F24*$F$15+$F$16*F25)</f>
        <v>705</v>
      </c>
      <c r="G41" s="95"/>
      <c r="H41" s="95">
        <f>(F24*F15+F25*F16)/(F16+F15)</f>
        <v>2.3529411764705883</v>
      </c>
      <c r="I41" s="95"/>
      <c r="J41" s="95">
        <f>(H20+(H24*F15)+(F16*H25))</f>
        <v>674</v>
      </c>
      <c r="K41" s="95"/>
      <c r="L41" s="95">
        <f>(H24*F15+F16*H25)/(F15+F16)</f>
        <v>1.8823529411764706</v>
      </c>
      <c r="M41" s="95"/>
    </row>
    <row r="42" spans="2:13" ht="21">
      <c r="B42" s="157" t="s">
        <v>27</v>
      </c>
      <c r="C42" s="157"/>
      <c r="D42" s="157"/>
      <c r="E42" s="5" t="s">
        <v>28</v>
      </c>
      <c r="F42" s="159">
        <v>149.55090610351562</v>
      </c>
      <c r="G42" s="159"/>
      <c r="H42" s="95">
        <f>F42</f>
        <v>149.55090610351562</v>
      </c>
      <c r="I42" s="95"/>
      <c r="J42" s="159">
        <v>139.72804610351562</v>
      </c>
      <c r="K42" s="159"/>
      <c r="L42" s="95">
        <f>J42</f>
        <v>139.72804610351562</v>
      </c>
      <c r="M42" s="95"/>
    </row>
    <row r="43" spans="2:13" ht="21">
      <c r="B43" s="92" t="s">
        <v>32</v>
      </c>
      <c r="C43" s="92"/>
      <c r="D43" s="92"/>
      <c r="E43" s="5" t="s">
        <v>13</v>
      </c>
      <c r="F43" s="93">
        <f>F42*F41/100*(1-F26)</f>
        <v>1049.0622185896361</v>
      </c>
      <c r="G43" s="93"/>
      <c r="H43" s="93">
        <f t="shared" ref="H43" si="0">H41*H42/100</f>
        <v>3.5188448494944851</v>
      </c>
      <c r="I43" s="93"/>
      <c r="J43" s="93">
        <f>J42*J41/100*(1-H26)</f>
        <v>937.05819558400685</v>
      </c>
      <c r="K43" s="93"/>
      <c r="L43" s="93">
        <f t="shared" ref="L43" si="1">L41*L42/100</f>
        <v>2.6301749854779413</v>
      </c>
      <c r="M43" s="93"/>
    </row>
    <row r="44" spans="2:13" ht="6" customHeight="1">
      <c r="B44" s="157"/>
      <c r="C44" s="157"/>
      <c r="D44" s="157"/>
      <c r="E44" s="5"/>
      <c r="F44" s="95"/>
      <c r="G44" s="95"/>
      <c r="H44" s="95"/>
      <c r="I44" s="95"/>
      <c r="J44" s="95"/>
      <c r="K44" s="95"/>
      <c r="L44" s="95"/>
      <c r="M44" s="95"/>
    </row>
    <row r="45" spans="2:13" ht="21">
      <c r="B45" s="92" t="s">
        <v>38</v>
      </c>
      <c r="C45" s="92"/>
      <c r="D45" s="92"/>
      <c r="E45" s="160"/>
      <c r="F45" s="95"/>
      <c r="G45" s="95"/>
      <c r="H45" s="95"/>
      <c r="I45" s="95"/>
      <c r="J45" s="95"/>
      <c r="K45" s="95"/>
      <c r="L45" s="95"/>
      <c r="M45" s="95"/>
    </row>
    <row r="46" spans="2:13" ht="21">
      <c r="B46" s="157" t="s">
        <v>33</v>
      </c>
      <c r="C46" s="157"/>
      <c r="D46" s="157"/>
      <c r="E46" s="5" t="s">
        <v>13</v>
      </c>
      <c r="F46" s="95">
        <f>F22/(1-F26)</f>
        <v>775.94683086452767</v>
      </c>
      <c r="G46" s="95"/>
      <c r="H46" s="94"/>
      <c r="I46" s="94"/>
      <c r="J46" s="95">
        <f>H22/(1-H26)</f>
        <v>681.85473478462427</v>
      </c>
      <c r="K46" s="95"/>
      <c r="L46" s="94"/>
      <c r="M46" s="94"/>
    </row>
    <row r="47" spans="2:13" ht="21">
      <c r="B47" s="157" t="s">
        <v>22</v>
      </c>
      <c r="C47" s="157"/>
      <c r="D47" s="157"/>
      <c r="E47" s="5" t="s">
        <v>13</v>
      </c>
      <c r="F47" s="95">
        <f>F33*(F24*F15+F25*F16)/(1-F26)</f>
        <v>154.77386934673368</v>
      </c>
      <c r="G47" s="95"/>
      <c r="H47" s="95">
        <f>F47/($F$15+$F$16)</f>
        <v>1.300620750812888</v>
      </c>
      <c r="I47" s="95"/>
      <c r="J47" s="95">
        <f>H33*(F15*H24+F16*H25)/(1-H26)</f>
        <v>123.81909547738695</v>
      </c>
      <c r="K47" s="95"/>
      <c r="L47" s="95">
        <f>J47/($F$15+$F$16)</f>
        <v>1.0404966006503105</v>
      </c>
      <c r="M47" s="95"/>
    </row>
    <row r="48" spans="2:13" ht="21">
      <c r="B48" s="157" t="s">
        <v>78</v>
      </c>
      <c r="C48" s="157"/>
      <c r="D48" s="157"/>
      <c r="E48" s="5" t="s">
        <v>13</v>
      </c>
      <c r="F48" s="95">
        <f>F31+F32*(F15+F16)/30.5+F30/(1-F26)</f>
        <v>10.025125628140703</v>
      </c>
      <c r="G48" s="95"/>
      <c r="H48" s="95">
        <f>F48/($F$15+$F$16)</f>
        <v>8.4244753177652967E-2</v>
      </c>
      <c r="I48" s="95"/>
      <c r="J48" s="95">
        <f>H31+H32*(F15+F16)/30.5+H30/(1-H26)</f>
        <v>10.025125628140703</v>
      </c>
      <c r="K48" s="95"/>
      <c r="L48" s="95">
        <f>J48/($F$15+$F$16)</f>
        <v>8.4244753177652967E-2</v>
      </c>
      <c r="M48" s="95"/>
    </row>
    <row r="49" spans="2:13" ht="21">
      <c r="B49" s="157" t="s">
        <v>34</v>
      </c>
      <c r="C49" s="157"/>
      <c r="D49" s="157"/>
      <c r="E49" s="5" t="s">
        <v>13</v>
      </c>
      <c r="F49" s="95">
        <f>F46*$F$35/365*($F$15+$F$16)+(F47+F48)/2*$F$35/365*($F$15+$F$16)</f>
        <v>13.992220969025182</v>
      </c>
      <c r="G49" s="95"/>
      <c r="H49" s="95">
        <f>F49/($F$15+$F$16)</f>
        <v>0.11758168881533766</v>
      </c>
      <c r="I49" s="95"/>
      <c r="J49" s="95">
        <f>J46*$F$35/365*($F$15+$F$16)+(J47+J48)/2*$F$35/365*($F$15+$F$16)</f>
        <v>12.206088300705368</v>
      </c>
      <c r="K49" s="95"/>
      <c r="L49" s="95">
        <f>J49/($F$15+$F$16)</f>
        <v>0.10257217059416275</v>
      </c>
      <c r="M49" s="95"/>
    </row>
    <row r="50" spans="2:13" ht="21">
      <c r="B50" s="92" t="s">
        <v>35</v>
      </c>
      <c r="C50" s="92"/>
      <c r="D50" s="92"/>
      <c r="E50" s="5" t="s">
        <v>13</v>
      </c>
      <c r="F50" s="93">
        <f>SUM(F46:G49)</f>
        <v>954.73804680842727</v>
      </c>
      <c r="G50" s="93"/>
      <c r="H50" s="94"/>
      <c r="I50" s="94"/>
      <c r="J50" s="93">
        <f>SUM(J46:K49)</f>
        <v>827.90504419085732</v>
      </c>
      <c r="K50" s="93"/>
      <c r="L50" s="94"/>
      <c r="M50" s="94"/>
    </row>
    <row r="51" spans="2:13" ht="21">
      <c r="B51" s="92" t="s">
        <v>36</v>
      </c>
      <c r="C51" s="92"/>
      <c r="D51" s="92"/>
      <c r="E51" s="5" t="s">
        <v>13</v>
      </c>
      <c r="F51" s="93">
        <f>F43-F50</f>
        <v>94.324171781208861</v>
      </c>
      <c r="G51" s="93"/>
      <c r="H51" s="94"/>
      <c r="I51" s="94"/>
      <c r="J51" s="93">
        <f>J43-J50</f>
        <v>109.15315139314953</v>
      </c>
      <c r="K51" s="93"/>
      <c r="L51" s="94"/>
      <c r="M51" s="94"/>
    </row>
    <row r="52" spans="2:13" ht="21">
      <c r="B52" s="92" t="s">
        <v>37</v>
      </c>
      <c r="C52" s="92"/>
      <c r="D52" s="92"/>
      <c r="E52" s="5" t="s">
        <v>28</v>
      </c>
      <c r="F52" s="93">
        <f>F50/F41*100</f>
        <v>135.42383642672726</v>
      </c>
      <c r="G52" s="93"/>
      <c r="H52" s="94"/>
      <c r="I52" s="94"/>
      <c r="J52" s="93">
        <f>J50/J41*100</f>
        <v>122.8345762894447</v>
      </c>
      <c r="K52" s="93"/>
      <c r="L52" s="94"/>
      <c r="M52" s="94"/>
    </row>
    <row r="53" spans="2:13" ht="21">
      <c r="B53" s="92" t="s">
        <v>39</v>
      </c>
      <c r="C53" s="92"/>
      <c r="D53" s="92"/>
      <c r="E53" s="5" t="s">
        <v>40</v>
      </c>
      <c r="F53" s="93">
        <f>F51*F27</f>
        <v>45.275602454980252</v>
      </c>
      <c r="G53" s="93"/>
      <c r="H53" s="94"/>
      <c r="I53" s="94"/>
      <c r="J53" s="93">
        <f>J51*H27</f>
        <v>52.393512668711772</v>
      </c>
      <c r="K53" s="93"/>
      <c r="L53" s="94"/>
      <c r="M53" s="94"/>
    </row>
  </sheetData>
  <mergeCells count="132">
    <mergeCell ref="I6:J6"/>
    <mergeCell ref="I4:J4"/>
    <mergeCell ref="B52:D52"/>
    <mergeCell ref="F52:G52"/>
    <mergeCell ref="H52:I52"/>
    <mergeCell ref="J52:K52"/>
    <mergeCell ref="L52:M52"/>
    <mergeCell ref="B51:D51"/>
    <mergeCell ref="F51:G51"/>
    <mergeCell ref="H51:I51"/>
    <mergeCell ref="J51:K51"/>
    <mergeCell ref="L51:M51"/>
    <mergeCell ref="B50:D50"/>
    <mergeCell ref="F50:G50"/>
    <mergeCell ref="H50:I50"/>
    <mergeCell ref="J50:K50"/>
    <mergeCell ref="L50:M50"/>
    <mergeCell ref="B49:D49"/>
    <mergeCell ref="F49:G49"/>
    <mergeCell ref="H49:I49"/>
    <mergeCell ref="J49:K49"/>
    <mergeCell ref="L49:M49"/>
    <mergeCell ref="B48:D48"/>
    <mergeCell ref="F48:G48"/>
    <mergeCell ref="H48:I48"/>
    <mergeCell ref="J48:K48"/>
    <mergeCell ref="L48:M48"/>
    <mergeCell ref="B47:D47"/>
    <mergeCell ref="F47:G47"/>
    <mergeCell ref="H47:I47"/>
    <mergeCell ref="J47:K47"/>
    <mergeCell ref="L47:M47"/>
    <mergeCell ref="B46:D46"/>
    <mergeCell ref="F46:G46"/>
    <mergeCell ref="H46:I46"/>
    <mergeCell ref="J46:K46"/>
    <mergeCell ref="L46:M46"/>
    <mergeCell ref="F45:G45"/>
    <mergeCell ref="H45:I45"/>
    <mergeCell ref="J45:K45"/>
    <mergeCell ref="L45:M45"/>
    <mergeCell ref="B45:E45"/>
    <mergeCell ref="B44:D44"/>
    <mergeCell ref="F44:G44"/>
    <mergeCell ref="H44:I44"/>
    <mergeCell ref="J44:K44"/>
    <mergeCell ref="L44:M44"/>
    <mergeCell ref="B43:D43"/>
    <mergeCell ref="F43:G43"/>
    <mergeCell ref="H43:I43"/>
    <mergeCell ref="J43:K43"/>
    <mergeCell ref="L43:M43"/>
    <mergeCell ref="F42:G42"/>
    <mergeCell ref="H42:I42"/>
    <mergeCell ref="J42:K42"/>
    <mergeCell ref="L42:M42"/>
    <mergeCell ref="B42:D42"/>
    <mergeCell ref="H41:I41"/>
    <mergeCell ref="J41:K41"/>
    <mergeCell ref="L41:M41"/>
    <mergeCell ref="F41:G41"/>
    <mergeCell ref="H40:I40"/>
    <mergeCell ref="J40:K40"/>
    <mergeCell ref="L40:M40"/>
    <mergeCell ref="B41:D41"/>
    <mergeCell ref="F40:G40"/>
    <mergeCell ref="B40:E40"/>
    <mergeCell ref="F39:I39"/>
    <mergeCell ref="J39:M39"/>
    <mergeCell ref="B38:M38"/>
    <mergeCell ref="B39:E39"/>
    <mergeCell ref="H32:I32"/>
    <mergeCell ref="F25:G25"/>
    <mergeCell ref="F26:G26"/>
    <mergeCell ref="F27:G27"/>
    <mergeCell ref="F28:G28"/>
    <mergeCell ref="F30:G30"/>
    <mergeCell ref="F31:G31"/>
    <mergeCell ref="F32:G32"/>
    <mergeCell ref="H26:I26"/>
    <mergeCell ref="H27:I27"/>
    <mergeCell ref="H28:I28"/>
    <mergeCell ref="H30:I30"/>
    <mergeCell ref="H31:I31"/>
    <mergeCell ref="F19:G19"/>
    <mergeCell ref="H19:I19"/>
    <mergeCell ref="B20:D20"/>
    <mergeCell ref="B21:D21"/>
    <mergeCell ref="B32:D32"/>
    <mergeCell ref="B33:D33"/>
    <mergeCell ref="B35:D35"/>
    <mergeCell ref="B2:J3"/>
    <mergeCell ref="C6:E6"/>
    <mergeCell ref="C7:E7"/>
    <mergeCell ref="F17:H17"/>
    <mergeCell ref="B14:E14"/>
    <mergeCell ref="B17:E17"/>
    <mergeCell ref="F15:H15"/>
    <mergeCell ref="F16:H16"/>
    <mergeCell ref="B15:E15"/>
    <mergeCell ref="B16:E16"/>
    <mergeCell ref="B9:G9"/>
    <mergeCell ref="B11:F12"/>
    <mergeCell ref="B10:G10"/>
    <mergeCell ref="H9:J9"/>
    <mergeCell ref="H10:J10"/>
    <mergeCell ref="G11:I12"/>
    <mergeCell ref="F20:G20"/>
    <mergeCell ref="F21:G21"/>
    <mergeCell ref="H20:I20"/>
    <mergeCell ref="H21:I21"/>
    <mergeCell ref="B53:D53"/>
    <mergeCell ref="F53:G53"/>
    <mergeCell ref="H53:I53"/>
    <mergeCell ref="J53:K53"/>
    <mergeCell ref="L53:M53"/>
    <mergeCell ref="F22:G22"/>
    <mergeCell ref="H22:I22"/>
    <mergeCell ref="B24:D24"/>
    <mergeCell ref="B25:D25"/>
    <mergeCell ref="F24:G24"/>
    <mergeCell ref="H24:I24"/>
    <mergeCell ref="H25:I25"/>
    <mergeCell ref="B26:D26"/>
    <mergeCell ref="B27:D27"/>
    <mergeCell ref="B28:D28"/>
    <mergeCell ref="B30:D30"/>
    <mergeCell ref="B31:D31"/>
    <mergeCell ref="B22:D22"/>
    <mergeCell ref="F33:G33"/>
    <mergeCell ref="H33:I33"/>
    <mergeCell ref="F35:G35"/>
  </mergeCells>
  <dataValidations count="8">
    <dataValidation type="list" allowBlank="1" showInputMessage="1" showErrorMessage="1" sqref="F14" xr:uid="{00000000-0002-0000-0000-000000000000}">
      <formula1>months</formula1>
    </dataValidation>
    <dataValidation allowBlank="1" showInputMessage="1" showErrorMessage="1" prompt="Enter any weight between 300# and 700#." sqref="F20:G20" xr:uid="{00000000-0002-0000-0000-000001000000}"/>
    <dataValidation allowBlank="1" showInputMessage="1" showErrorMessage="1" prompt="Enter any weight between 330# and 700#." sqref="H20:I20" xr:uid="{00000000-0002-0000-0000-000002000000}"/>
    <dataValidation allowBlank="1" showInputMessage="1" showErrorMessage="1" prompt="Press ctrl+t to update default prices using futures prices and basis." sqref="F42:G42 J42:K42" xr:uid="{00000000-0002-0000-0000-000003000000}"/>
    <dataValidation allowBlank="1" showInputMessage="1" showErrorMessage="1" prompt="Press ctrl+t to generate cost of gain with a detailed budget." sqref="F33:I33" xr:uid="{00000000-0002-0000-0000-000004000000}"/>
    <dataValidation allowBlank="1" showInputMessage="1" showErrorMessage="1" prompt="Press ctrl+t to update default price based on current market prices." sqref="F21:I21" xr:uid="{00000000-0002-0000-0000-000005000000}"/>
    <dataValidation allowBlank="1" showInputMessage="1" showErrorMessage="1" prompt="Enter the total of freight, commissions, insurance, yardage, beef check off, order buyer fee and hedging/option costs." sqref="F31:I31" xr:uid="{00000000-0002-0000-0000-000006000000}"/>
    <dataValidation allowBlank="1" showInputMessage="1" showErrorMessage="1" prompt="This version of the calculator has improved sale price forecasting." sqref="I6:J6" xr:uid="{00000000-0002-0000-0000-000007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wnload">
                <anchor moveWithCells="1">
                  <from>
                    <xdr:col>6</xdr:col>
                    <xdr:colOff>7620</xdr:colOff>
                    <xdr:row>10</xdr:row>
                    <xdr:rowOff>30480</xdr:rowOff>
                  </from>
                  <to>
                    <xdr:col>8</xdr:col>
                    <xdr:colOff>464820</xdr:colOff>
                    <xdr:row>11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2:M28"/>
  <sheetViews>
    <sheetView workbookViewId="0">
      <selection activeCell="H13" sqref="H13:I13"/>
    </sheetView>
  </sheetViews>
  <sheetFormatPr defaultRowHeight="14.4"/>
  <cols>
    <col min="7" max="7" width="4.5546875" customWidth="1"/>
    <col min="9" max="9" width="4.5546875" customWidth="1"/>
    <col min="10" max="10" width="6.5546875" customWidth="1"/>
    <col min="11" max="11" width="3.5546875" customWidth="1"/>
    <col min="12" max="12" width="5" customWidth="1"/>
    <col min="13" max="13" width="5.109375" customWidth="1"/>
  </cols>
  <sheetData>
    <row r="2" spans="2:13" ht="15.6">
      <c r="B2" s="210" t="s">
        <v>205</v>
      </c>
      <c r="C2" s="211"/>
      <c r="D2" s="211"/>
      <c r="E2" s="211"/>
      <c r="F2" s="211"/>
      <c r="G2" s="212"/>
      <c r="H2" s="73"/>
      <c r="I2" s="73"/>
      <c r="J2" s="197" t="s">
        <v>6</v>
      </c>
      <c r="K2" s="198"/>
      <c r="L2" s="197" t="s">
        <v>7</v>
      </c>
      <c r="M2" s="198"/>
    </row>
    <row r="3" spans="2:13" ht="15.6">
      <c r="B3" s="207" t="s">
        <v>183</v>
      </c>
      <c r="C3" s="208"/>
      <c r="D3" s="208"/>
      <c r="E3" s="208"/>
      <c r="F3" s="208"/>
      <c r="G3" s="209"/>
      <c r="H3" s="74"/>
      <c r="I3" s="74"/>
      <c r="J3" s="199">
        <v>650</v>
      </c>
      <c r="K3" s="200"/>
      <c r="L3" s="199">
        <v>650</v>
      </c>
      <c r="M3" s="200"/>
    </row>
    <row r="4" spans="2:13" ht="15.6">
      <c r="B4" s="177" t="s">
        <v>160</v>
      </c>
      <c r="C4" s="178"/>
      <c r="D4" s="178"/>
      <c r="E4" s="179"/>
      <c r="F4" s="186" t="str">
        <f>Budget!F15 &amp; " days"</f>
        <v>14 days</v>
      </c>
      <c r="G4" s="187"/>
      <c r="H4" s="213"/>
      <c r="I4" s="214"/>
      <c r="J4" s="186"/>
      <c r="K4" s="187"/>
      <c r="L4" s="186"/>
      <c r="M4" s="187"/>
    </row>
    <row r="5" spans="2:13" ht="15.6">
      <c r="B5" s="213" t="s">
        <v>184</v>
      </c>
      <c r="C5" s="214"/>
      <c r="D5" s="213" t="s">
        <v>185</v>
      </c>
      <c r="E5" s="214"/>
      <c r="F5" s="215">
        <v>80</v>
      </c>
      <c r="G5" s="216"/>
      <c r="H5" s="191" t="s">
        <v>195</v>
      </c>
      <c r="I5" s="192"/>
      <c r="J5" s="201">
        <v>15</v>
      </c>
      <c r="K5" s="202"/>
      <c r="L5" s="201">
        <v>12</v>
      </c>
      <c r="M5" s="202"/>
    </row>
    <row r="6" spans="2:13" ht="15.6">
      <c r="B6" s="213" t="s">
        <v>186</v>
      </c>
      <c r="C6" s="214"/>
      <c r="D6" s="213" t="s">
        <v>185</v>
      </c>
      <c r="E6" s="214"/>
      <c r="F6" s="215">
        <v>300</v>
      </c>
      <c r="G6" s="216"/>
      <c r="H6" s="191" t="s">
        <v>195</v>
      </c>
      <c r="I6" s="192"/>
      <c r="J6" s="201">
        <v>2</v>
      </c>
      <c r="K6" s="202"/>
      <c r="L6" s="201">
        <v>2</v>
      </c>
      <c r="M6" s="202"/>
    </row>
    <row r="7" spans="2:13" ht="15.6">
      <c r="B7" s="213" t="s">
        <v>187</v>
      </c>
      <c r="C7" s="214"/>
      <c r="D7" s="213" t="s">
        <v>185</v>
      </c>
      <c r="E7" s="214"/>
      <c r="F7" s="215">
        <v>1000</v>
      </c>
      <c r="G7" s="216"/>
      <c r="H7" s="191" t="s">
        <v>189</v>
      </c>
      <c r="I7" s="192"/>
      <c r="J7" s="201">
        <v>4</v>
      </c>
      <c r="K7" s="202"/>
      <c r="L7" s="201">
        <v>4</v>
      </c>
      <c r="M7" s="202"/>
    </row>
    <row r="8" spans="2:13" ht="15.6">
      <c r="B8" s="180" t="s">
        <v>190</v>
      </c>
      <c r="C8" s="181"/>
      <c r="D8" s="181"/>
      <c r="E8" s="181"/>
      <c r="F8" s="181"/>
      <c r="G8" s="182"/>
      <c r="H8" s="191" t="s">
        <v>13</v>
      </c>
      <c r="I8" s="192"/>
      <c r="J8" s="170">
        <v>2.5</v>
      </c>
      <c r="K8" s="171"/>
      <c r="L8" s="170">
        <v>2.5</v>
      </c>
      <c r="M8" s="171"/>
    </row>
    <row r="9" spans="2:13" ht="15.6">
      <c r="B9" s="180" t="s">
        <v>191</v>
      </c>
      <c r="C9" s="181"/>
      <c r="D9" s="181"/>
      <c r="E9" s="181"/>
      <c r="F9" s="181"/>
      <c r="G9" s="182"/>
      <c r="H9" s="191" t="s">
        <v>13</v>
      </c>
      <c r="I9" s="192"/>
      <c r="J9" s="170"/>
      <c r="K9" s="171"/>
      <c r="L9" s="170"/>
      <c r="M9" s="171"/>
    </row>
    <row r="10" spans="2:13" ht="15.6">
      <c r="B10" s="183" t="s">
        <v>161</v>
      </c>
      <c r="C10" s="184"/>
      <c r="D10" s="184"/>
      <c r="E10" s="184"/>
      <c r="F10" s="184"/>
      <c r="G10" s="185"/>
      <c r="H10" s="194" t="s">
        <v>13</v>
      </c>
      <c r="I10" s="195"/>
      <c r="J10" s="172">
        <f>(J5*$F$5/2000+J6*$F$6/2000+J7*$F$7/2000/128)*Budget!$F$15+J8+J9</f>
        <v>15.318749999999998</v>
      </c>
      <c r="K10" s="173"/>
      <c r="L10" s="172">
        <f>(L5*$F$5/2000+L6*$F$6/2000+L7*$F$7/2000/128)*Budget!$F$15+L8+L9</f>
        <v>13.63875</v>
      </c>
      <c r="M10" s="173"/>
    </row>
    <row r="11" spans="2:13" ht="15.6">
      <c r="B11" s="177" t="s">
        <v>188</v>
      </c>
      <c r="C11" s="178"/>
      <c r="D11" s="178"/>
      <c r="E11" s="178"/>
      <c r="F11" s="178"/>
      <c r="G11" s="179"/>
      <c r="H11" s="219"/>
      <c r="I11" s="220"/>
      <c r="J11" s="203"/>
      <c r="K11" s="204"/>
      <c r="L11" s="203"/>
      <c r="M11" s="204"/>
    </row>
    <row r="12" spans="2:13" ht="15.6">
      <c r="B12" s="213" t="s">
        <v>178</v>
      </c>
      <c r="C12" s="221"/>
      <c r="D12" s="221"/>
      <c r="E12" s="214"/>
      <c r="F12" s="222" t="s">
        <v>203</v>
      </c>
      <c r="G12" s="223"/>
      <c r="H12" s="217">
        <v>0.65</v>
      </c>
      <c r="I12" s="218"/>
      <c r="J12" s="205">
        <v>154.375</v>
      </c>
      <c r="K12" s="206"/>
      <c r="L12" s="205">
        <v>123.5</v>
      </c>
      <c r="M12" s="206"/>
    </row>
    <row r="13" spans="2:13" ht="15.6">
      <c r="B13" s="213" t="s">
        <v>184</v>
      </c>
      <c r="C13" s="214"/>
      <c r="D13" s="213" t="s">
        <v>185</v>
      </c>
      <c r="E13" s="214"/>
      <c r="F13" s="215">
        <v>80</v>
      </c>
      <c r="G13" s="216"/>
      <c r="H13" s="191" t="s">
        <v>195</v>
      </c>
      <c r="I13" s="192"/>
      <c r="J13" s="201">
        <v>3</v>
      </c>
      <c r="K13" s="202"/>
      <c r="L13" s="201">
        <v>3</v>
      </c>
      <c r="M13" s="202"/>
    </row>
    <row r="14" spans="2:13" ht="15.6">
      <c r="B14" s="213" t="s">
        <v>186</v>
      </c>
      <c r="C14" s="214"/>
      <c r="D14" s="213" t="s">
        <v>185</v>
      </c>
      <c r="E14" s="214"/>
      <c r="F14" s="215">
        <v>400</v>
      </c>
      <c r="G14" s="216"/>
      <c r="H14" s="191" t="s">
        <v>195</v>
      </c>
      <c r="I14" s="192"/>
      <c r="J14" s="201">
        <v>0</v>
      </c>
      <c r="K14" s="202"/>
      <c r="L14" s="201">
        <v>0</v>
      </c>
      <c r="M14" s="202"/>
    </row>
    <row r="15" spans="2:13" ht="15.6">
      <c r="B15" s="213" t="s">
        <v>187</v>
      </c>
      <c r="C15" s="214"/>
      <c r="D15" s="213" t="s">
        <v>185</v>
      </c>
      <c r="E15" s="214"/>
      <c r="F15" s="215">
        <v>401</v>
      </c>
      <c r="G15" s="216"/>
      <c r="H15" s="191" t="s">
        <v>189</v>
      </c>
      <c r="I15" s="192"/>
      <c r="J15" s="201">
        <v>4</v>
      </c>
      <c r="K15" s="202"/>
      <c r="L15" s="201">
        <v>4</v>
      </c>
      <c r="M15" s="202"/>
    </row>
    <row r="16" spans="2:13" ht="15.6">
      <c r="B16" s="180" t="s">
        <v>196</v>
      </c>
      <c r="C16" s="181"/>
      <c r="D16" s="181"/>
      <c r="E16" s="181"/>
      <c r="F16" s="181"/>
      <c r="G16" s="182"/>
      <c r="H16" s="191" t="s">
        <v>13</v>
      </c>
      <c r="I16" s="192"/>
      <c r="J16" s="170">
        <v>1.5</v>
      </c>
      <c r="K16" s="171"/>
      <c r="L16" s="170">
        <v>1.5</v>
      </c>
      <c r="M16" s="171"/>
    </row>
    <row r="17" spans="2:13" ht="15.6">
      <c r="B17" s="75" t="s">
        <v>198</v>
      </c>
      <c r="C17" s="193"/>
      <c r="D17" s="193"/>
      <c r="E17" s="192"/>
      <c r="F17" s="168" t="str">
        <f>Budget!F15+Budget!F16 &amp; " Days"</f>
        <v>119 Days</v>
      </c>
      <c r="G17" s="169"/>
      <c r="H17" s="191" t="s">
        <v>197</v>
      </c>
      <c r="I17" s="192"/>
      <c r="J17" s="170">
        <v>0.1</v>
      </c>
      <c r="K17" s="171"/>
      <c r="L17" s="170">
        <v>0.1</v>
      </c>
      <c r="M17" s="171"/>
    </row>
    <row r="18" spans="2:13" ht="15.6">
      <c r="B18" s="180" t="s">
        <v>199</v>
      </c>
      <c r="C18" s="181"/>
      <c r="D18" s="181"/>
      <c r="E18" s="181"/>
      <c r="F18" s="181"/>
      <c r="G18" s="182"/>
      <c r="H18" s="191" t="s">
        <v>13</v>
      </c>
      <c r="I18" s="192"/>
      <c r="J18" s="170">
        <v>1</v>
      </c>
      <c r="K18" s="171"/>
      <c r="L18" s="170">
        <v>1</v>
      </c>
      <c r="M18" s="171"/>
    </row>
    <row r="19" spans="2:13" ht="15.6">
      <c r="B19" s="180" t="s">
        <v>200</v>
      </c>
      <c r="C19" s="181"/>
      <c r="D19" s="181"/>
      <c r="E19" s="181"/>
      <c r="F19" s="181"/>
      <c r="G19" s="182"/>
      <c r="H19" s="191" t="s">
        <v>13</v>
      </c>
      <c r="I19" s="192"/>
      <c r="J19" s="170">
        <v>1</v>
      </c>
      <c r="K19" s="171"/>
      <c r="L19" s="170">
        <v>1</v>
      </c>
      <c r="M19" s="171"/>
    </row>
    <row r="20" spans="2:13" ht="15.6">
      <c r="B20" s="180" t="s">
        <v>201</v>
      </c>
      <c r="C20" s="181"/>
      <c r="D20" s="181"/>
      <c r="E20" s="181"/>
      <c r="F20" s="181"/>
      <c r="G20" s="182"/>
      <c r="H20" s="191" t="s">
        <v>13</v>
      </c>
      <c r="I20" s="192"/>
      <c r="J20" s="170">
        <v>0</v>
      </c>
      <c r="K20" s="171"/>
      <c r="L20" s="170">
        <v>0</v>
      </c>
      <c r="M20" s="171"/>
    </row>
    <row r="21" spans="2:13" ht="15.6">
      <c r="B21" s="183" t="s">
        <v>179</v>
      </c>
      <c r="C21" s="184"/>
      <c r="D21" s="184"/>
      <c r="E21" s="184"/>
      <c r="F21" s="184"/>
      <c r="G21" s="185"/>
      <c r="H21" s="194" t="s">
        <v>13</v>
      </c>
      <c r="I21" s="195"/>
      <c r="J21" s="172">
        <f>IF(J$3&lt;&gt;"",SUM(J16:K16)+SUM(J18:K20)+(SUMPRODUCT(J13:K14,$F$13:$G$14)/2000+$F$15/2000/128*J15)*Budget!$F$16+cost_of_gain!J17*Budget!$F$16)+J12</f>
        <v>181.63289062500002</v>
      </c>
      <c r="K21" s="173"/>
      <c r="L21" s="172">
        <f>IF(L$3&lt;&gt;"",SUM(L16:M16)+SUM(L18:M20)+(SUMPRODUCT(L13:M14,$F$13:$G$14)/2000+$F$15/2000/128*L15)*Budget!$F$16+cost_of_gain!L17*Budget!$F$16)+L12</f>
        <v>150.75789062500002</v>
      </c>
      <c r="M21" s="173"/>
    </row>
    <row r="22" spans="2:13" ht="15.6">
      <c r="B22" s="188" t="s">
        <v>194</v>
      </c>
      <c r="C22" s="189"/>
      <c r="D22" s="189"/>
      <c r="E22" s="189"/>
      <c r="F22" s="189"/>
      <c r="G22" s="190"/>
      <c r="H22" s="194" t="s">
        <v>13</v>
      </c>
      <c r="I22" s="195"/>
      <c r="J22" s="172">
        <f>J21+J10</f>
        <v>196.95164062500001</v>
      </c>
      <c r="K22" s="173"/>
      <c r="L22" s="172">
        <f>L21+L10</f>
        <v>164.396640625</v>
      </c>
      <c r="M22" s="173"/>
    </row>
    <row r="23" spans="2:13" ht="15.6">
      <c r="B23" s="174" t="s">
        <v>193</v>
      </c>
      <c r="C23" s="175"/>
      <c r="D23" s="175"/>
      <c r="E23" s="175"/>
      <c r="F23" s="175"/>
      <c r="G23" s="176"/>
      <c r="H23" s="186" t="s">
        <v>202</v>
      </c>
      <c r="I23" s="187"/>
      <c r="J23" s="164">
        <v>255</v>
      </c>
      <c r="K23" s="165"/>
      <c r="L23" s="164">
        <v>204</v>
      </c>
      <c r="M23" s="165"/>
    </row>
    <row r="24" spans="2:13" ht="15.6">
      <c r="B24" s="177" t="s">
        <v>22</v>
      </c>
      <c r="C24" s="178"/>
      <c r="D24" s="178"/>
      <c r="E24" s="178"/>
      <c r="F24" s="178"/>
      <c r="G24" s="179"/>
      <c r="H24" s="186" t="s">
        <v>192</v>
      </c>
      <c r="I24" s="187"/>
      <c r="J24" s="166">
        <f>J22/J23</f>
        <v>0.77235937500000007</v>
      </c>
      <c r="K24" s="167"/>
      <c r="L24" s="166">
        <f>L22/L23</f>
        <v>0.80586588541666671</v>
      </c>
      <c r="M24" s="167"/>
    </row>
    <row r="27" spans="2:13">
      <c r="D27" s="196"/>
      <c r="E27" s="196"/>
      <c r="F27" s="196"/>
    </row>
    <row r="28" spans="2:13">
      <c r="D28" s="196"/>
      <c r="E28" s="196"/>
      <c r="F28" s="196"/>
    </row>
  </sheetData>
  <mergeCells count="106">
    <mergeCell ref="H18:I18"/>
    <mergeCell ref="H19:I19"/>
    <mergeCell ref="B16:G16"/>
    <mergeCell ref="B18:G18"/>
    <mergeCell ref="L17:M17"/>
    <mergeCell ref="L16:M16"/>
    <mergeCell ref="B15:C15"/>
    <mergeCell ref="D15:E15"/>
    <mergeCell ref="F15:G15"/>
    <mergeCell ref="H15:I15"/>
    <mergeCell ref="J3:K3"/>
    <mergeCell ref="J4:K4"/>
    <mergeCell ref="J5:K5"/>
    <mergeCell ref="J6:K6"/>
    <mergeCell ref="B6:C6"/>
    <mergeCell ref="H5:I5"/>
    <mergeCell ref="J15:K15"/>
    <mergeCell ref="L15:M15"/>
    <mergeCell ref="H16:I16"/>
    <mergeCell ref="L7:M7"/>
    <mergeCell ref="L8:M8"/>
    <mergeCell ref="L9:M9"/>
    <mergeCell ref="L10:M10"/>
    <mergeCell ref="L11:M11"/>
    <mergeCell ref="L12:M12"/>
    <mergeCell ref="F7:G7"/>
    <mergeCell ref="H7:I7"/>
    <mergeCell ref="H8:I8"/>
    <mergeCell ref="H9:I9"/>
    <mergeCell ref="H10:I10"/>
    <mergeCell ref="B8:G8"/>
    <mergeCell ref="B9:G9"/>
    <mergeCell ref="B10:G10"/>
    <mergeCell ref="B11:G11"/>
    <mergeCell ref="B2:G2"/>
    <mergeCell ref="B13:C13"/>
    <mergeCell ref="D14:E14"/>
    <mergeCell ref="F14:G14"/>
    <mergeCell ref="H14:I14"/>
    <mergeCell ref="D13:E13"/>
    <mergeCell ref="F13:G13"/>
    <mergeCell ref="H13:I13"/>
    <mergeCell ref="B4:E4"/>
    <mergeCell ref="F4:G4"/>
    <mergeCell ref="B5:C5"/>
    <mergeCell ref="D5:E5"/>
    <mergeCell ref="F5:G5"/>
    <mergeCell ref="H4:I4"/>
    <mergeCell ref="B14:C14"/>
    <mergeCell ref="H12:I12"/>
    <mergeCell ref="D6:E6"/>
    <mergeCell ref="F6:G6"/>
    <mergeCell ref="H6:I6"/>
    <mergeCell ref="H11:I11"/>
    <mergeCell ref="B12:E12"/>
    <mergeCell ref="F12:G12"/>
    <mergeCell ref="B7:C7"/>
    <mergeCell ref="D7:E7"/>
    <mergeCell ref="D27:F28"/>
    <mergeCell ref="L2:M2"/>
    <mergeCell ref="L3:M3"/>
    <mergeCell ref="L4:M4"/>
    <mergeCell ref="L5:M5"/>
    <mergeCell ref="L6:M6"/>
    <mergeCell ref="J20:K20"/>
    <mergeCell ref="J23:K23"/>
    <mergeCell ref="J14:K14"/>
    <mergeCell ref="J16:K16"/>
    <mergeCell ref="J7:K7"/>
    <mergeCell ref="J17:K17"/>
    <mergeCell ref="J18:K18"/>
    <mergeCell ref="J19:K19"/>
    <mergeCell ref="J8:K8"/>
    <mergeCell ref="J9:K9"/>
    <mergeCell ref="J10:K10"/>
    <mergeCell ref="J11:K11"/>
    <mergeCell ref="J12:K12"/>
    <mergeCell ref="J13:K13"/>
    <mergeCell ref="L13:M13"/>
    <mergeCell ref="L14:M14"/>
    <mergeCell ref="J2:K2"/>
    <mergeCell ref="B3:G3"/>
    <mergeCell ref="L23:M23"/>
    <mergeCell ref="L24:M24"/>
    <mergeCell ref="F17:G17"/>
    <mergeCell ref="L19:M19"/>
    <mergeCell ref="L21:M21"/>
    <mergeCell ref="L20:M20"/>
    <mergeCell ref="L18:M18"/>
    <mergeCell ref="B23:G23"/>
    <mergeCell ref="B24:G24"/>
    <mergeCell ref="B19:G19"/>
    <mergeCell ref="B20:G20"/>
    <mergeCell ref="J24:K24"/>
    <mergeCell ref="J21:K21"/>
    <mergeCell ref="B21:G21"/>
    <mergeCell ref="H24:I24"/>
    <mergeCell ref="H23:I23"/>
    <mergeCell ref="B22:G22"/>
    <mergeCell ref="H20:I20"/>
    <mergeCell ref="C17:E17"/>
    <mergeCell ref="J22:K22"/>
    <mergeCell ref="L22:M22"/>
    <mergeCell ref="H21:I21"/>
    <mergeCell ref="H22:I22"/>
    <mergeCell ref="H17:I17"/>
  </mergeCells>
  <dataValidations xWindow="883" yWindow="300" count="4">
    <dataValidation allowBlank="1" showInputMessage="1" showErrorMessage="1" prompt="Enter price per ton as fed." sqref="F13:F15 F5:F7" xr:uid="{00000000-0002-0000-0100-000000000000}"/>
    <dataValidation allowBlank="1" showInputMessage="1" showErrorMessage="1" prompt="Enter pounds fed per day per head." sqref="J5:M6 J13:M14" xr:uid="{00000000-0002-0000-0100-000001000000}"/>
    <dataValidation allowBlank="1" showInputMessage="1" showErrorMessage="1" prompt="Enter ounces fed per head per day." sqref="J7:M7 J15:M15" xr:uid="{00000000-0002-0000-0100-000002000000}"/>
    <dataValidation allowBlank="1" showInputMessage="1" showErrorMessage="1" prompt="Enter rent per pound of gain." sqref="H12" xr:uid="{00000000-0002-0000-0100-000003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turn_to_input">
                <anchor moveWithCells="1" sizeWithCells="1">
                  <from>
                    <xdr:col>8</xdr:col>
                    <xdr:colOff>30480</xdr:colOff>
                    <xdr:row>25</xdr:row>
                    <xdr:rowOff>83820</xdr:rowOff>
                  </from>
                  <to>
                    <xdr:col>12</xdr:col>
                    <xdr:colOff>160020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cancel">
                <anchor moveWithCells="1" sizeWithCells="1">
                  <from>
                    <xdr:col>8</xdr:col>
                    <xdr:colOff>7620</xdr:colOff>
                    <xdr:row>29</xdr:row>
                    <xdr:rowOff>76200</xdr:rowOff>
                  </from>
                  <to>
                    <xdr:col>12</xdr:col>
                    <xdr:colOff>160020</xdr:colOff>
                    <xdr:row>32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V424"/>
  <sheetViews>
    <sheetView workbookViewId="0"/>
  </sheetViews>
  <sheetFormatPr defaultColWidth="9.5546875" defaultRowHeight="15"/>
  <cols>
    <col min="1" max="1" width="26.5546875" style="19" bestFit="1" customWidth="1"/>
    <col min="2" max="3" width="12.5546875" style="23" customWidth="1"/>
    <col min="4" max="22" width="12.5546875" style="14" customWidth="1"/>
    <col min="23" max="23" width="2.5546875" style="14" customWidth="1"/>
    <col min="24" max="37" width="12.5546875" style="14" customWidth="1"/>
    <col min="38" max="39" width="12.5546875" style="15" customWidth="1"/>
    <col min="40" max="40" width="12.109375" style="15" customWidth="1"/>
    <col min="41" max="41" width="13.88671875" style="15" customWidth="1"/>
    <col min="42" max="42" width="10.44140625" style="15" customWidth="1"/>
    <col min="43" max="43" width="10.5546875" style="15" customWidth="1"/>
    <col min="44" max="256" width="9.5546875" style="15"/>
    <col min="257" max="257" width="26.5546875" style="15" bestFit="1" customWidth="1"/>
    <col min="258" max="278" width="12.5546875" style="15" customWidth="1"/>
    <col min="279" max="279" width="2.5546875" style="15" customWidth="1"/>
    <col min="280" max="295" width="12.5546875" style="15" customWidth="1"/>
    <col min="296" max="296" width="12.109375" style="15" customWidth="1"/>
    <col min="297" max="297" width="13.88671875" style="15" customWidth="1"/>
    <col min="298" max="512" width="9.5546875" style="15"/>
    <col min="513" max="513" width="26.5546875" style="15" bestFit="1" customWidth="1"/>
    <col min="514" max="534" width="12.5546875" style="15" customWidth="1"/>
    <col min="535" max="535" width="2.5546875" style="15" customWidth="1"/>
    <col min="536" max="551" width="12.5546875" style="15" customWidth="1"/>
    <col min="552" max="552" width="12.109375" style="15" customWidth="1"/>
    <col min="553" max="553" width="13.88671875" style="15" customWidth="1"/>
    <col min="554" max="768" width="9.5546875" style="15"/>
    <col min="769" max="769" width="26.5546875" style="15" bestFit="1" customWidth="1"/>
    <col min="770" max="790" width="12.5546875" style="15" customWidth="1"/>
    <col min="791" max="791" width="2.5546875" style="15" customWidth="1"/>
    <col min="792" max="807" width="12.5546875" style="15" customWidth="1"/>
    <col min="808" max="808" width="12.109375" style="15" customWidth="1"/>
    <col min="809" max="809" width="13.88671875" style="15" customWidth="1"/>
    <col min="810" max="1024" width="9.5546875" style="15"/>
    <col min="1025" max="1025" width="26.5546875" style="15" bestFit="1" customWidth="1"/>
    <col min="1026" max="1046" width="12.5546875" style="15" customWidth="1"/>
    <col min="1047" max="1047" width="2.5546875" style="15" customWidth="1"/>
    <col min="1048" max="1063" width="12.5546875" style="15" customWidth="1"/>
    <col min="1064" max="1064" width="12.109375" style="15" customWidth="1"/>
    <col min="1065" max="1065" width="13.88671875" style="15" customWidth="1"/>
    <col min="1066" max="1280" width="9.5546875" style="15"/>
    <col min="1281" max="1281" width="26.5546875" style="15" bestFit="1" customWidth="1"/>
    <col min="1282" max="1302" width="12.5546875" style="15" customWidth="1"/>
    <col min="1303" max="1303" width="2.5546875" style="15" customWidth="1"/>
    <col min="1304" max="1319" width="12.5546875" style="15" customWidth="1"/>
    <col min="1320" max="1320" width="12.109375" style="15" customWidth="1"/>
    <col min="1321" max="1321" width="13.88671875" style="15" customWidth="1"/>
    <col min="1322" max="1536" width="9.5546875" style="15"/>
    <col min="1537" max="1537" width="26.5546875" style="15" bestFit="1" customWidth="1"/>
    <col min="1538" max="1558" width="12.5546875" style="15" customWidth="1"/>
    <col min="1559" max="1559" width="2.5546875" style="15" customWidth="1"/>
    <col min="1560" max="1575" width="12.5546875" style="15" customWidth="1"/>
    <col min="1576" max="1576" width="12.109375" style="15" customWidth="1"/>
    <col min="1577" max="1577" width="13.88671875" style="15" customWidth="1"/>
    <col min="1578" max="1792" width="9.5546875" style="15"/>
    <col min="1793" max="1793" width="26.5546875" style="15" bestFit="1" customWidth="1"/>
    <col min="1794" max="1814" width="12.5546875" style="15" customWidth="1"/>
    <col min="1815" max="1815" width="2.5546875" style="15" customWidth="1"/>
    <col min="1816" max="1831" width="12.5546875" style="15" customWidth="1"/>
    <col min="1832" max="1832" width="12.109375" style="15" customWidth="1"/>
    <col min="1833" max="1833" width="13.88671875" style="15" customWidth="1"/>
    <col min="1834" max="2048" width="9.5546875" style="15"/>
    <col min="2049" max="2049" width="26.5546875" style="15" bestFit="1" customWidth="1"/>
    <col min="2050" max="2070" width="12.5546875" style="15" customWidth="1"/>
    <col min="2071" max="2071" width="2.5546875" style="15" customWidth="1"/>
    <col min="2072" max="2087" width="12.5546875" style="15" customWidth="1"/>
    <col min="2088" max="2088" width="12.109375" style="15" customWidth="1"/>
    <col min="2089" max="2089" width="13.88671875" style="15" customWidth="1"/>
    <col min="2090" max="2304" width="9.5546875" style="15"/>
    <col min="2305" max="2305" width="26.5546875" style="15" bestFit="1" customWidth="1"/>
    <col min="2306" max="2326" width="12.5546875" style="15" customWidth="1"/>
    <col min="2327" max="2327" width="2.5546875" style="15" customWidth="1"/>
    <col min="2328" max="2343" width="12.5546875" style="15" customWidth="1"/>
    <col min="2344" max="2344" width="12.109375" style="15" customWidth="1"/>
    <col min="2345" max="2345" width="13.88671875" style="15" customWidth="1"/>
    <col min="2346" max="2560" width="9.5546875" style="15"/>
    <col min="2561" max="2561" width="26.5546875" style="15" bestFit="1" customWidth="1"/>
    <col min="2562" max="2582" width="12.5546875" style="15" customWidth="1"/>
    <col min="2583" max="2583" width="2.5546875" style="15" customWidth="1"/>
    <col min="2584" max="2599" width="12.5546875" style="15" customWidth="1"/>
    <col min="2600" max="2600" width="12.109375" style="15" customWidth="1"/>
    <col min="2601" max="2601" width="13.88671875" style="15" customWidth="1"/>
    <col min="2602" max="2816" width="9.5546875" style="15"/>
    <col min="2817" max="2817" width="26.5546875" style="15" bestFit="1" customWidth="1"/>
    <col min="2818" max="2838" width="12.5546875" style="15" customWidth="1"/>
    <col min="2839" max="2839" width="2.5546875" style="15" customWidth="1"/>
    <col min="2840" max="2855" width="12.5546875" style="15" customWidth="1"/>
    <col min="2856" max="2856" width="12.109375" style="15" customWidth="1"/>
    <col min="2857" max="2857" width="13.88671875" style="15" customWidth="1"/>
    <col min="2858" max="3072" width="9.5546875" style="15"/>
    <col min="3073" max="3073" width="26.5546875" style="15" bestFit="1" customWidth="1"/>
    <col min="3074" max="3094" width="12.5546875" style="15" customWidth="1"/>
    <col min="3095" max="3095" width="2.5546875" style="15" customWidth="1"/>
    <col min="3096" max="3111" width="12.5546875" style="15" customWidth="1"/>
    <col min="3112" max="3112" width="12.109375" style="15" customWidth="1"/>
    <col min="3113" max="3113" width="13.88671875" style="15" customWidth="1"/>
    <col min="3114" max="3328" width="9.5546875" style="15"/>
    <col min="3329" max="3329" width="26.5546875" style="15" bestFit="1" customWidth="1"/>
    <col min="3330" max="3350" width="12.5546875" style="15" customWidth="1"/>
    <col min="3351" max="3351" width="2.5546875" style="15" customWidth="1"/>
    <col min="3352" max="3367" width="12.5546875" style="15" customWidth="1"/>
    <col min="3368" max="3368" width="12.109375" style="15" customWidth="1"/>
    <col min="3369" max="3369" width="13.88671875" style="15" customWidth="1"/>
    <col min="3370" max="3584" width="9.5546875" style="15"/>
    <col min="3585" max="3585" width="26.5546875" style="15" bestFit="1" customWidth="1"/>
    <col min="3586" max="3606" width="12.5546875" style="15" customWidth="1"/>
    <col min="3607" max="3607" width="2.5546875" style="15" customWidth="1"/>
    <col min="3608" max="3623" width="12.5546875" style="15" customWidth="1"/>
    <col min="3624" max="3624" width="12.109375" style="15" customWidth="1"/>
    <col min="3625" max="3625" width="13.88671875" style="15" customWidth="1"/>
    <col min="3626" max="3840" width="9.5546875" style="15"/>
    <col min="3841" max="3841" width="26.5546875" style="15" bestFit="1" customWidth="1"/>
    <col min="3842" max="3862" width="12.5546875" style="15" customWidth="1"/>
    <col min="3863" max="3863" width="2.5546875" style="15" customWidth="1"/>
    <col min="3864" max="3879" width="12.5546875" style="15" customWidth="1"/>
    <col min="3880" max="3880" width="12.109375" style="15" customWidth="1"/>
    <col min="3881" max="3881" width="13.88671875" style="15" customWidth="1"/>
    <col min="3882" max="4096" width="9.5546875" style="15"/>
    <col min="4097" max="4097" width="26.5546875" style="15" bestFit="1" customWidth="1"/>
    <col min="4098" max="4118" width="12.5546875" style="15" customWidth="1"/>
    <col min="4119" max="4119" width="2.5546875" style="15" customWidth="1"/>
    <col min="4120" max="4135" width="12.5546875" style="15" customWidth="1"/>
    <col min="4136" max="4136" width="12.109375" style="15" customWidth="1"/>
    <col min="4137" max="4137" width="13.88671875" style="15" customWidth="1"/>
    <col min="4138" max="4352" width="9.5546875" style="15"/>
    <col min="4353" max="4353" width="26.5546875" style="15" bestFit="1" customWidth="1"/>
    <col min="4354" max="4374" width="12.5546875" style="15" customWidth="1"/>
    <col min="4375" max="4375" width="2.5546875" style="15" customWidth="1"/>
    <col min="4376" max="4391" width="12.5546875" style="15" customWidth="1"/>
    <col min="4392" max="4392" width="12.109375" style="15" customWidth="1"/>
    <col min="4393" max="4393" width="13.88671875" style="15" customWidth="1"/>
    <col min="4394" max="4608" width="9.5546875" style="15"/>
    <col min="4609" max="4609" width="26.5546875" style="15" bestFit="1" customWidth="1"/>
    <col min="4610" max="4630" width="12.5546875" style="15" customWidth="1"/>
    <col min="4631" max="4631" width="2.5546875" style="15" customWidth="1"/>
    <col min="4632" max="4647" width="12.5546875" style="15" customWidth="1"/>
    <col min="4648" max="4648" width="12.109375" style="15" customWidth="1"/>
    <col min="4649" max="4649" width="13.88671875" style="15" customWidth="1"/>
    <col min="4650" max="4864" width="9.5546875" style="15"/>
    <col min="4865" max="4865" width="26.5546875" style="15" bestFit="1" customWidth="1"/>
    <col min="4866" max="4886" width="12.5546875" style="15" customWidth="1"/>
    <col min="4887" max="4887" width="2.5546875" style="15" customWidth="1"/>
    <col min="4888" max="4903" width="12.5546875" style="15" customWidth="1"/>
    <col min="4904" max="4904" width="12.109375" style="15" customWidth="1"/>
    <col min="4905" max="4905" width="13.88671875" style="15" customWidth="1"/>
    <col min="4906" max="5120" width="9.5546875" style="15"/>
    <col min="5121" max="5121" width="26.5546875" style="15" bestFit="1" customWidth="1"/>
    <col min="5122" max="5142" width="12.5546875" style="15" customWidth="1"/>
    <col min="5143" max="5143" width="2.5546875" style="15" customWidth="1"/>
    <col min="5144" max="5159" width="12.5546875" style="15" customWidth="1"/>
    <col min="5160" max="5160" width="12.109375" style="15" customWidth="1"/>
    <col min="5161" max="5161" width="13.88671875" style="15" customWidth="1"/>
    <col min="5162" max="5376" width="9.5546875" style="15"/>
    <col min="5377" max="5377" width="26.5546875" style="15" bestFit="1" customWidth="1"/>
    <col min="5378" max="5398" width="12.5546875" style="15" customWidth="1"/>
    <col min="5399" max="5399" width="2.5546875" style="15" customWidth="1"/>
    <col min="5400" max="5415" width="12.5546875" style="15" customWidth="1"/>
    <col min="5416" max="5416" width="12.109375" style="15" customWidth="1"/>
    <col min="5417" max="5417" width="13.88671875" style="15" customWidth="1"/>
    <col min="5418" max="5632" width="9.5546875" style="15"/>
    <col min="5633" max="5633" width="26.5546875" style="15" bestFit="1" customWidth="1"/>
    <col min="5634" max="5654" width="12.5546875" style="15" customWidth="1"/>
    <col min="5655" max="5655" width="2.5546875" style="15" customWidth="1"/>
    <col min="5656" max="5671" width="12.5546875" style="15" customWidth="1"/>
    <col min="5672" max="5672" width="12.109375" style="15" customWidth="1"/>
    <col min="5673" max="5673" width="13.88671875" style="15" customWidth="1"/>
    <col min="5674" max="5888" width="9.5546875" style="15"/>
    <col min="5889" max="5889" width="26.5546875" style="15" bestFit="1" customWidth="1"/>
    <col min="5890" max="5910" width="12.5546875" style="15" customWidth="1"/>
    <col min="5911" max="5911" width="2.5546875" style="15" customWidth="1"/>
    <col min="5912" max="5927" width="12.5546875" style="15" customWidth="1"/>
    <col min="5928" max="5928" width="12.109375" style="15" customWidth="1"/>
    <col min="5929" max="5929" width="13.88671875" style="15" customWidth="1"/>
    <col min="5930" max="6144" width="9.5546875" style="15"/>
    <col min="6145" max="6145" width="26.5546875" style="15" bestFit="1" customWidth="1"/>
    <col min="6146" max="6166" width="12.5546875" style="15" customWidth="1"/>
    <col min="6167" max="6167" width="2.5546875" style="15" customWidth="1"/>
    <col min="6168" max="6183" width="12.5546875" style="15" customWidth="1"/>
    <col min="6184" max="6184" width="12.109375" style="15" customWidth="1"/>
    <col min="6185" max="6185" width="13.88671875" style="15" customWidth="1"/>
    <col min="6186" max="6400" width="9.5546875" style="15"/>
    <col min="6401" max="6401" width="26.5546875" style="15" bestFit="1" customWidth="1"/>
    <col min="6402" max="6422" width="12.5546875" style="15" customWidth="1"/>
    <col min="6423" max="6423" width="2.5546875" style="15" customWidth="1"/>
    <col min="6424" max="6439" width="12.5546875" style="15" customWidth="1"/>
    <col min="6440" max="6440" width="12.109375" style="15" customWidth="1"/>
    <col min="6441" max="6441" width="13.88671875" style="15" customWidth="1"/>
    <col min="6442" max="6656" width="9.5546875" style="15"/>
    <col min="6657" max="6657" width="26.5546875" style="15" bestFit="1" customWidth="1"/>
    <col min="6658" max="6678" width="12.5546875" style="15" customWidth="1"/>
    <col min="6679" max="6679" width="2.5546875" style="15" customWidth="1"/>
    <col min="6680" max="6695" width="12.5546875" style="15" customWidth="1"/>
    <col min="6696" max="6696" width="12.109375" style="15" customWidth="1"/>
    <col min="6697" max="6697" width="13.88671875" style="15" customWidth="1"/>
    <col min="6698" max="6912" width="9.5546875" style="15"/>
    <col min="6913" max="6913" width="26.5546875" style="15" bestFit="1" customWidth="1"/>
    <col min="6914" max="6934" width="12.5546875" style="15" customWidth="1"/>
    <col min="6935" max="6935" width="2.5546875" style="15" customWidth="1"/>
    <col min="6936" max="6951" width="12.5546875" style="15" customWidth="1"/>
    <col min="6952" max="6952" width="12.109375" style="15" customWidth="1"/>
    <col min="6953" max="6953" width="13.88671875" style="15" customWidth="1"/>
    <col min="6954" max="7168" width="9.5546875" style="15"/>
    <col min="7169" max="7169" width="26.5546875" style="15" bestFit="1" customWidth="1"/>
    <col min="7170" max="7190" width="12.5546875" style="15" customWidth="1"/>
    <col min="7191" max="7191" width="2.5546875" style="15" customWidth="1"/>
    <col min="7192" max="7207" width="12.5546875" style="15" customWidth="1"/>
    <col min="7208" max="7208" width="12.109375" style="15" customWidth="1"/>
    <col min="7209" max="7209" width="13.88671875" style="15" customWidth="1"/>
    <col min="7210" max="7424" width="9.5546875" style="15"/>
    <col min="7425" max="7425" width="26.5546875" style="15" bestFit="1" customWidth="1"/>
    <col min="7426" max="7446" width="12.5546875" style="15" customWidth="1"/>
    <col min="7447" max="7447" width="2.5546875" style="15" customWidth="1"/>
    <col min="7448" max="7463" width="12.5546875" style="15" customWidth="1"/>
    <col min="7464" max="7464" width="12.109375" style="15" customWidth="1"/>
    <col min="7465" max="7465" width="13.88671875" style="15" customWidth="1"/>
    <col min="7466" max="7680" width="9.5546875" style="15"/>
    <col min="7681" max="7681" width="26.5546875" style="15" bestFit="1" customWidth="1"/>
    <col min="7682" max="7702" width="12.5546875" style="15" customWidth="1"/>
    <col min="7703" max="7703" width="2.5546875" style="15" customWidth="1"/>
    <col min="7704" max="7719" width="12.5546875" style="15" customWidth="1"/>
    <col min="7720" max="7720" width="12.109375" style="15" customWidth="1"/>
    <col min="7721" max="7721" width="13.88671875" style="15" customWidth="1"/>
    <col min="7722" max="7936" width="9.5546875" style="15"/>
    <col min="7937" max="7937" width="26.5546875" style="15" bestFit="1" customWidth="1"/>
    <col min="7938" max="7958" width="12.5546875" style="15" customWidth="1"/>
    <col min="7959" max="7959" width="2.5546875" style="15" customWidth="1"/>
    <col min="7960" max="7975" width="12.5546875" style="15" customWidth="1"/>
    <col min="7976" max="7976" width="12.109375" style="15" customWidth="1"/>
    <col min="7977" max="7977" width="13.88671875" style="15" customWidth="1"/>
    <col min="7978" max="8192" width="9.5546875" style="15"/>
    <col min="8193" max="8193" width="26.5546875" style="15" bestFit="1" customWidth="1"/>
    <col min="8194" max="8214" width="12.5546875" style="15" customWidth="1"/>
    <col min="8215" max="8215" width="2.5546875" style="15" customWidth="1"/>
    <col min="8216" max="8231" width="12.5546875" style="15" customWidth="1"/>
    <col min="8232" max="8232" width="12.109375" style="15" customWidth="1"/>
    <col min="8233" max="8233" width="13.88671875" style="15" customWidth="1"/>
    <col min="8234" max="8448" width="9.5546875" style="15"/>
    <col min="8449" max="8449" width="26.5546875" style="15" bestFit="1" customWidth="1"/>
    <col min="8450" max="8470" width="12.5546875" style="15" customWidth="1"/>
    <col min="8471" max="8471" width="2.5546875" style="15" customWidth="1"/>
    <col min="8472" max="8487" width="12.5546875" style="15" customWidth="1"/>
    <col min="8488" max="8488" width="12.109375" style="15" customWidth="1"/>
    <col min="8489" max="8489" width="13.88671875" style="15" customWidth="1"/>
    <col min="8490" max="8704" width="9.5546875" style="15"/>
    <col min="8705" max="8705" width="26.5546875" style="15" bestFit="1" customWidth="1"/>
    <col min="8706" max="8726" width="12.5546875" style="15" customWidth="1"/>
    <col min="8727" max="8727" width="2.5546875" style="15" customWidth="1"/>
    <col min="8728" max="8743" width="12.5546875" style="15" customWidth="1"/>
    <col min="8744" max="8744" width="12.109375" style="15" customWidth="1"/>
    <col min="8745" max="8745" width="13.88671875" style="15" customWidth="1"/>
    <col min="8746" max="8960" width="9.5546875" style="15"/>
    <col min="8961" max="8961" width="26.5546875" style="15" bestFit="1" customWidth="1"/>
    <col min="8962" max="8982" width="12.5546875" style="15" customWidth="1"/>
    <col min="8983" max="8983" width="2.5546875" style="15" customWidth="1"/>
    <col min="8984" max="8999" width="12.5546875" style="15" customWidth="1"/>
    <col min="9000" max="9000" width="12.109375" style="15" customWidth="1"/>
    <col min="9001" max="9001" width="13.88671875" style="15" customWidth="1"/>
    <col min="9002" max="9216" width="9.5546875" style="15"/>
    <col min="9217" max="9217" width="26.5546875" style="15" bestFit="1" customWidth="1"/>
    <col min="9218" max="9238" width="12.5546875" style="15" customWidth="1"/>
    <col min="9239" max="9239" width="2.5546875" style="15" customWidth="1"/>
    <col min="9240" max="9255" width="12.5546875" style="15" customWidth="1"/>
    <col min="9256" max="9256" width="12.109375" style="15" customWidth="1"/>
    <col min="9257" max="9257" width="13.88671875" style="15" customWidth="1"/>
    <col min="9258" max="9472" width="9.5546875" style="15"/>
    <col min="9473" max="9473" width="26.5546875" style="15" bestFit="1" customWidth="1"/>
    <col min="9474" max="9494" width="12.5546875" style="15" customWidth="1"/>
    <col min="9495" max="9495" width="2.5546875" style="15" customWidth="1"/>
    <col min="9496" max="9511" width="12.5546875" style="15" customWidth="1"/>
    <col min="9512" max="9512" width="12.109375" style="15" customWidth="1"/>
    <col min="9513" max="9513" width="13.88671875" style="15" customWidth="1"/>
    <col min="9514" max="9728" width="9.5546875" style="15"/>
    <col min="9729" max="9729" width="26.5546875" style="15" bestFit="1" customWidth="1"/>
    <col min="9730" max="9750" width="12.5546875" style="15" customWidth="1"/>
    <col min="9751" max="9751" width="2.5546875" style="15" customWidth="1"/>
    <col min="9752" max="9767" width="12.5546875" style="15" customWidth="1"/>
    <col min="9768" max="9768" width="12.109375" style="15" customWidth="1"/>
    <col min="9769" max="9769" width="13.88671875" style="15" customWidth="1"/>
    <col min="9770" max="9984" width="9.5546875" style="15"/>
    <col min="9985" max="9985" width="26.5546875" style="15" bestFit="1" customWidth="1"/>
    <col min="9986" max="10006" width="12.5546875" style="15" customWidth="1"/>
    <col min="10007" max="10007" width="2.5546875" style="15" customWidth="1"/>
    <col min="10008" max="10023" width="12.5546875" style="15" customWidth="1"/>
    <col min="10024" max="10024" width="12.109375" style="15" customWidth="1"/>
    <col min="10025" max="10025" width="13.88671875" style="15" customWidth="1"/>
    <col min="10026" max="10240" width="9.5546875" style="15"/>
    <col min="10241" max="10241" width="26.5546875" style="15" bestFit="1" customWidth="1"/>
    <col min="10242" max="10262" width="12.5546875" style="15" customWidth="1"/>
    <col min="10263" max="10263" width="2.5546875" style="15" customWidth="1"/>
    <col min="10264" max="10279" width="12.5546875" style="15" customWidth="1"/>
    <col min="10280" max="10280" width="12.109375" style="15" customWidth="1"/>
    <col min="10281" max="10281" width="13.88671875" style="15" customWidth="1"/>
    <col min="10282" max="10496" width="9.5546875" style="15"/>
    <col min="10497" max="10497" width="26.5546875" style="15" bestFit="1" customWidth="1"/>
    <col min="10498" max="10518" width="12.5546875" style="15" customWidth="1"/>
    <col min="10519" max="10519" width="2.5546875" style="15" customWidth="1"/>
    <col min="10520" max="10535" width="12.5546875" style="15" customWidth="1"/>
    <col min="10536" max="10536" width="12.109375" style="15" customWidth="1"/>
    <col min="10537" max="10537" width="13.88671875" style="15" customWidth="1"/>
    <col min="10538" max="10752" width="9.5546875" style="15"/>
    <col min="10753" max="10753" width="26.5546875" style="15" bestFit="1" customWidth="1"/>
    <col min="10754" max="10774" width="12.5546875" style="15" customWidth="1"/>
    <col min="10775" max="10775" width="2.5546875" style="15" customWidth="1"/>
    <col min="10776" max="10791" width="12.5546875" style="15" customWidth="1"/>
    <col min="10792" max="10792" width="12.109375" style="15" customWidth="1"/>
    <col min="10793" max="10793" width="13.88671875" style="15" customWidth="1"/>
    <col min="10794" max="11008" width="9.5546875" style="15"/>
    <col min="11009" max="11009" width="26.5546875" style="15" bestFit="1" customWidth="1"/>
    <col min="11010" max="11030" width="12.5546875" style="15" customWidth="1"/>
    <col min="11031" max="11031" width="2.5546875" style="15" customWidth="1"/>
    <col min="11032" max="11047" width="12.5546875" style="15" customWidth="1"/>
    <col min="11048" max="11048" width="12.109375" style="15" customWidth="1"/>
    <col min="11049" max="11049" width="13.88671875" style="15" customWidth="1"/>
    <col min="11050" max="11264" width="9.5546875" style="15"/>
    <col min="11265" max="11265" width="26.5546875" style="15" bestFit="1" customWidth="1"/>
    <col min="11266" max="11286" width="12.5546875" style="15" customWidth="1"/>
    <col min="11287" max="11287" width="2.5546875" style="15" customWidth="1"/>
    <col min="11288" max="11303" width="12.5546875" style="15" customWidth="1"/>
    <col min="11304" max="11304" width="12.109375" style="15" customWidth="1"/>
    <col min="11305" max="11305" width="13.88671875" style="15" customWidth="1"/>
    <col min="11306" max="11520" width="9.5546875" style="15"/>
    <col min="11521" max="11521" width="26.5546875" style="15" bestFit="1" customWidth="1"/>
    <col min="11522" max="11542" width="12.5546875" style="15" customWidth="1"/>
    <col min="11543" max="11543" width="2.5546875" style="15" customWidth="1"/>
    <col min="11544" max="11559" width="12.5546875" style="15" customWidth="1"/>
    <col min="11560" max="11560" width="12.109375" style="15" customWidth="1"/>
    <col min="11561" max="11561" width="13.88671875" style="15" customWidth="1"/>
    <col min="11562" max="11776" width="9.5546875" style="15"/>
    <col min="11777" max="11777" width="26.5546875" style="15" bestFit="1" customWidth="1"/>
    <col min="11778" max="11798" width="12.5546875" style="15" customWidth="1"/>
    <col min="11799" max="11799" width="2.5546875" style="15" customWidth="1"/>
    <col min="11800" max="11815" width="12.5546875" style="15" customWidth="1"/>
    <col min="11816" max="11816" width="12.109375" style="15" customWidth="1"/>
    <col min="11817" max="11817" width="13.88671875" style="15" customWidth="1"/>
    <col min="11818" max="12032" width="9.5546875" style="15"/>
    <col min="12033" max="12033" width="26.5546875" style="15" bestFit="1" customWidth="1"/>
    <col min="12034" max="12054" width="12.5546875" style="15" customWidth="1"/>
    <col min="12055" max="12055" width="2.5546875" style="15" customWidth="1"/>
    <col min="12056" max="12071" width="12.5546875" style="15" customWidth="1"/>
    <col min="12072" max="12072" width="12.109375" style="15" customWidth="1"/>
    <col min="12073" max="12073" width="13.88671875" style="15" customWidth="1"/>
    <col min="12074" max="12288" width="9.5546875" style="15"/>
    <col min="12289" max="12289" width="26.5546875" style="15" bestFit="1" customWidth="1"/>
    <col min="12290" max="12310" width="12.5546875" style="15" customWidth="1"/>
    <col min="12311" max="12311" width="2.5546875" style="15" customWidth="1"/>
    <col min="12312" max="12327" width="12.5546875" style="15" customWidth="1"/>
    <col min="12328" max="12328" width="12.109375" style="15" customWidth="1"/>
    <col min="12329" max="12329" width="13.88671875" style="15" customWidth="1"/>
    <col min="12330" max="12544" width="9.5546875" style="15"/>
    <col min="12545" max="12545" width="26.5546875" style="15" bestFit="1" customWidth="1"/>
    <col min="12546" max="12566" width="12.5546875" style="15" customWidth="1"/>
    <col min="12567" max="12567" width="2.5546875" style="15" customWidth="1"/>
    <col min="12568" max="12583" width="12.5546875" style="15" customWidth="1"/>
    <col min="12584" max="12584" width="12.109375" style="15" customWidth="1"/>
    <col min="12585" max="12585" width="13.88671875" style="15" customWidth="1"/>
    <col min="12586" max="12800" width="9.5546875" style="15"/>
    <col min="12801" max="12801" width="26.5546875" style="15" bestFit="1" customWidth="1"/>
    <col min="12802" max="12822" width="12.5546875" style="15" customWidth="1"/>
    <col min="12823" max="12823" width="2.5546875" style="15" customWidth="1"/>
    <col min="12824" max="12839" width="12.5546875" style="15" customWidth="1"/>
    <col min="12840" max="12840" width="12.109375" style="15" customWidth="1"/>
    <col min="12841" max="12841" width="13.88671875" style="15" customWidth="1"/>
    <col min="12842" max="13056" width="9.5546875" style="15"/>
    <col min="13057" max="13057" width="26.5546875" style="15" bestFit="1" customWidth="1"/>
    <col min="13058" max="13078" width="12.5546875" style="15" customWidth="1"/>
    <col min="13079" max="13079" width="2.5546875" style="15" customWidth="1"/>
    <col min="13080" max="13095" width="12.5546875" style="15" customWidth="1"/>
    <col min="13096" max="13096" width="12.109375" style="15" customWidth="1"/>
    <col min="13097" max="13097" width="13.88671875" style="15" customWidth="1"/>
    <col min="13098" max="13312" width="9.5546875" style="15"/>
    <col min="13313" max="13313" width="26.5546875" style="15" bestFit="1" customWidth="1"/>
    <col min="13314" max="13334" width="12.5546875" style="15" customWidth="1"/>
    <col min="13335" max="13335" width="2.5546875" style="15" customWidth="1"/>
    <col min="13336" max="13351" width="12.5546875" style="15" customWidth="1"/>
    <col min="13352" max="13352" width="12.109375" style="15" customWidth="1"/>
    <col min="13353" max="13353" width="13.88671875" style="15" customWidth="1"/>
    <col min="13354" max="13568" width="9.5546875" style="15"/>
    <col min="13569" max="13569" width="26.5546875" style="15" bestFit="1" customWidth="1"/>
    <col min="13570" max="13590" width="12.5546875" style="15" customWidth="1"/>
    <col min="13591" max="13591" width="2.5546875" style="15" customWidth="1"/>
    <col min="13592" max="13607" width="12.5546875" style="15" customWidth="1"/>
    <col min="13608" max="13608" width="12.109375" style="15" customWidth="1"/>
    <col min="13609" max="13609" width="13.88671875" style="15" customWidth="1"/>
    <col min="13610" max="13824" width="9.5546875" style="15"/>
    <col min="13825" max="13825" width="26.5546875" style="15" bestFit="1" customWidth="1"/>
    <col min="13826" max="13846" width="12.5546875" style="15" customWidth="1"/>
    <col min="13847" max="13847" width="2.5546875" style="15" customWidth="1"/>
    <col min="13848" max="13863" width="12.5546875" style="15" customWidth="1"/>
    <col min="13864" max="13864" width="12.109375" style="15" customWidth="1"/>
    <col min="13865" max="13865" width="13.88671875" style="15" customWidth="1"/>
    <col min="13866" max="14080" width="9.5546875" style="15"/>
    <col min="14081" max="14081" width="26.5546875" style="15" bestFit="1" customWidth="1"/>
    <col min="14082" max="14102" width="12.5546875" style="15" customWidth="1"/>
    <col min="14103" max="14103" width="2.5546875" style="15" customWidth="1"/>
    <col min="14104" max="14119" width="12.5546875" style="15" customWidth="1"/>
    <col min="14120" max="14120" width="12.109375" style="15" customWidth="1"/>
    <col min="14121" max="14121" width="13.88671875" style="15" customWidth="1"/>
    <col min="14122" max="14336" width="9.5546875" style="15"/>
    <col min="14337" max="14337" width="26.5546875" style="15" bestFit="1" customWidth="1"/>
    <col min="14338" max="14358" width="12.5546875" style="15" customWidth="1"/>
    <col min="14359" max="14359" width="2.5546875" style="15" customWidth="1"/>
    <col min="14360" max="14375" width="12.5546875" style="15" customWidth="1"/>
    <col min="14376" max="14376" width="12.109375" style="15" customWidth="1"/>
    <col min="14377" max="14377" width="13.88671875" style="15" customWidth="1"/>
    <col min="14378" max="14592" width="9.5546875" style="15"/>
    <col min="14593" max="14593" width="26.5546875" style="15" bestFit="1" customWidth="1"/>
    <col min="14594" max="14614" width="12.5546875" style="15" customWidth="1"/>
    <col min="14615" max="14615" width="2.5546875" style="15" customWidth="1"/>
    <col min="14616" max="14631" width="12.5546875" style="15" customWidth="1"/>
    <col min="14632" max="14632" width="12.109375" style="15" customWidth="1"/>
    <col min="14633" max="14633" width="13.88671875" style="15" customWidth="1"/>
    <col min="14634" max="14848" width="9.5546875" style="15"/>
    <col min="14849" max="14849" width="26.5546875" style="15" bestFit="1" customWidth="1"/>
    <col min="14850" max="14870" width="12.5546875" style="15" customWidth="1"/>
    <col min="14871" max="14871" width="2.5546875" style="15" customWidth="1"/>
    <col min="14872" max="14887" width="12.5546875" style="15" customWidth="1"/>
    <col min="14888" max="14888" width="12.109375" style="15" customWidth="1"/>
    <col min="14889" max="14889" width="13.88671875" style="15" customWidth="1"/>
    <col min="14890" max="15104" width="9.5546875" style="15"/>
    <col min="15105" max="15105" width="26.5546875" style="15" bestFit="1" customWidth="1"/>
    <col min="15106" max="15126" width="12.5546875" style="15" customWidth="1"/>
    <col min="15127" max="15127" width="2.5546875" style="15" customWidth="1"/>
    <col min="15128" max="15143" width="12.5546875" style="15" customWidth="1"/>
    <col min="15144" max="15144" width="12.109375" style="15" customWidth="1"/>
    <col min="15145" max="15145" width="13.88671875" style="15" customWidth="1"/>
    <col min="15146" max="15360" width="9.5546875" style="15"/>
    <col min="15361" max="15361" width="26.5546875" style="15" bestFit="1" customWidth="1"/>
    <col min="15362" max="15382" width="12.5546875" style="15" customWidth="1"/>
    <col min="15383" max="15383" width="2.5546875" style="15" customWidth="1"/>
    <col min="15384" max="15399" width="12.5546875" style="15" customWidth="1"/>
    <col min="15400" max="15400" width="12.109375" style="15" customWidth="1"/>
    <col min="15401" max="15401" width="13.88671875" style="15" customWidth="1"/>
    <col min="15402" max="15616" width="9.5546875" style="15"/>
    <col min="15617" max="15617" width="26.5546875" style="15" bestFit="1" customWidth="1"/>
    <col min="15618" max="15638" width="12.5546875" style="15" customWidth="1"/>
    <col min="15639" max="15639" width="2.5546875" style="15" customWidth="1"/>
    <col min="15640" max="15655" width="12.5546875" style="15" customWidth="1"/>
    <col min="15656" max="15656" width="12.109375" style="15" customWidth="1"/>
    <col min="15657" max="15657" width="13.88671875" style="15" customWidth="1"/>
    <col min="15658" max="15872" width="9.5546875" style="15"/>
    <col min="15873" max="15873" width="26.5546875" style="15" bestFit="1" customWidth="1"/>
    <col min="15874" max="15894" width="12.5546875" style="15" customWidth="1"/>
    <col min="15895" max="15895" width="2.5546875" style="15" customWidth="1"/>
    <col min="15896" max="15911" width="12.5546875" style="15" customWidth="1"/>
    <col min="15912" max="15912" width="12.109375" style="15" customWidth="1"/>
    <col min="15913" max="15913" width="13.88671875" style="15" customWidth="1"/>
    <col min="15914" max="16128" width="9.5546875" style="15"/>
    <col min="16129" max="16129" width="26.5546875" style="15" bestFit="1" customWidth="1"/>
    <col min="16130" max="16150" width="12.5546875" style="15" customWidth="1"/>
    <col min="16151" max="16151" width="2.5546875" style="15" customWidth="1"/>
    <col min="16152" max="16167" width="12.5546875" style="15" customWidth="1"/>
    <col min="16168" max="16168" width="12.109375" style="15" customWidth="1"/>
    <col min="16169" max="16169" width="13.88671875" style="15" customWidth="1"/>
    <col min="16170" max="16384" width="9.5546875" style="15"/>
  </cols>
  <sheetData>
    <row r="1" spans="1:44" ht="21">
      <c r="A1" s="82">
        <v>42951</v>
      </c>
      <c r="B1" s="24" t="s">
        <v>132</v>
      </c>
      <c r="C1" s="24"/>
      <c r="G1" s="25" t="s">
        <v>43</v>
      </c>
      <c r="AB1" s="26" t="s">
        <v>44</v>
      </c>
      <c r="AL1" s="27"/>
      <c r="AM1" s="27"/>
      <c r="AN1" s="28"/>
      <c r="AO1" s="28"/>
      <c r="AP1" s="28"/>
      <c r="AQ1" s="28"/>
    </row>
    <row r="2" spans="1:44" ht="15.6">
      <c r="A2" s="29" t="s">
        <v>45</v>
      </c>
      <c r="B2" s="24"/>
      <c r="C2" s="24"/>
      <c r="AL2" s="27"/>
      <c r="AM2" s="27"/>
      <c r="AN2" s="28"/>
      <c r="AO2" s="28"/>
      <c r="AP2" s="28"/>
      <c r="AQ2" s="28"/>
    </row>
    <row r="3" spans="1:44" ht="15.6">
      <c r="A3" s="29" t="s">
        <v>46</v>
      </c>
      <c r="B3" s="24"/>
      <c r="C3" s="24"/>
      <c r="D3" s="26" t="s">
        <v>47</v>
      </c>
      <c r="AL3" s="27"/>
      <c r="AM3" s="27"/>
      <c r="AN3" s="28"/>
      <c r="AO3" s="28"/>
      <c r="AP3" s="28"/>
      <c r="AQ3" s="28"/>
    </row>
    <row r="4" spans="1:44">
      <c r="C4" s="13"/>
      <c r="AL4" s="27"/>
      <c r="AM4" s="27"/>
      <c r="AN4" s="28"/>
      <c r="AO4" s="28"/>
      <c r="AP4" s="28"/>
      <c r="AQ4" s="28"/>
    </row>
    <row r="5" spans="1:44">
      <c r="A5" s="16"/>
      <c r="B5" s="17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7"/>
      <c r="AM5" s="27"/>
      <c r="AN5" s="28"/>
      <c r="AO5" s="28"/>
      <c r="AP5" s="28"/>
      <c r="AQ5" s="28"/>
    </row>
    <row r="6" spans="1:44" ht="15.6">
      <c r="A6" s="16"/>
      <c r="B6" s="17"/>
      <c r="C6" s="20"/>
      <c r="E6" s="18"/>
      <c r="F6" s="18"/>
      <c r="G6" s="26" t="s">
        <v>48</v>
      </c>
      <c r="H6" s="18"/>
      <c r="I6" s="18"/>
      <c r="J6" s="18"/>
      <c r="K6" s="18"/>
      <c r="L6" s="18"/>
      <c r="M6" s="18"/>
      <c r="N6" s="18"/>
      <c r="O6" s="18"/>
      <c r="AC6" s="30" t="s">
        <v>48</v>
      </c>
      <c r="AD6" s="18"/>
      <c r="AE6" s="18"/>
      <c r="AG6" s="18"/>
      <c r="AH6" s="18"/>
      <c r="AJ6" s="31"/>
      <c r="AK6" s="31"/>
      <c r="AL6" s="27"/>
      <c r="AM6" s="27"/>
      <c r="AN6" s="28"/>
      <c r="AO6" s="28"/>
      <c r="AP6" s="28"/>
      <c r="AQ6" s="28"/>
    </row>
    <row r="7" spans="1:44">
      <c r="A7" s="32" t="s">
        <v>49</v>
      </c>
      <c r="B7" s="33"/>
      <c r="C7" s="33"/>
      <c r="D7" s="32" t="s">
        <v>49</v>
      </c>
      <c r="E7" s="32" t="s">
        <v>49</v>
      </c>
      <c r="F7" s="32" t="s">
        <v>49</v>
      </c>
      <c r="G7" s="32" t="s">
        <v>49</v>
      </c>
      <c r="H7" s="32" t="s">
        <v>49</v>
      </c>
      <c r="I7" s="32" t="s">
        <v>49</v>
      </c>
      <c r="J7" s="32" t="s">
        <v>49</v>
      </c>
      <c r="K7" s="32" t="s">
        <v>49</v>
      </c>
      <c r="L7" s="32" t="s">
        <v>49</v>
      </c>
      <c r="M7" s="32" t="s">
        <v>49</v>
      </c>
      <c r="N7" s="32" t="s">
        <v>49</v>
      </c>
      <c r="O7" s="32" t="s">
        <v>49</v>
      </c>
      <c r="P7" s="32" t="s">
        <v>49</v>
      </c>
      <c r="Q7" s="32" t="s">
        <v>49</v>
      </c>
      <c r="R7" s="32"/>
      <c r="S7" s="32"/>
      <c r="T7" s="32"/>
      <c r="U7" s="32"/>
      <c r="V7" s="32"/>
      <c r="W7" s="32" t="s">
        <v>49</v>
      </c>
      <c r="X7" s="32"/>
      <c r="Y7" s="32"/>
      <c r="Z7" s="32" t="s">
        <v>49</v>
      </c>
      <c r="AA7" s="32" t="s">
        <v>49</v>
      </c>
      <c r="AB7" s="32" t="s">
        <v>49</v>
      </c>
      <c r="AC7" s="32" t="s">
        <v>49</v>
      </c>
      <c r="AD7" s="32" t="s">
        <v>49</v>
      </c>
      <c r="AE7" s="32" t="s">
        <v>49</v>
      </c>
      <c r="AF7" s="32" t="s">
        <v>49</v>
      </c>
      <c r="AG7" s="32" t="s">
        <v>49</v>
      </c>
      <c r="AH7" s="32" t="s">
        <v>49</v>
      </c>
      <c r="AI7" s="32" t="s">
        <v>49</v>
      </c>
      <c r="AJ7" s="32" t="s">
        <v>49</v>
      </c>
      <c r="AK7" s="32" t="s">
        <v>49</v>
      </c>
      <c r="AL7" s="27"/>
      <c r="AM7" s="27"/>
      <c r="AN7" s="28"/>
      <c r="AO7" s="28"/>
      <c r="AP7" s="28"/>
      <c r="AQ7" s="28"/>
    </row>
    <row r="8" spans="1:44">
      <c r="B8" s="34"/>
      <c r="C8" s="3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7"/>
      <c r="AM8" s="27"/>
      <c r="AN8" s="28"/>
      <c r="AO8" s="28"/>
      <c r="AP8" s="28"/>
      <c r="AQ8" s="28"/>
    </row>
    <row r="9" spans="1:44">
      <c r="B9" s="34"/>
      <c r="C9" s="34"/>
      <c r="W9" s="31" t="s">
        <v>50</v>
      </c>
      <c r="X9" s="31"/>
      <c r="Y9" s="31"/>
      <c r="AL9" s="27"/>
      <c r="AM9" s="27"/>
      <c r="AN9" s="28"/>
      <c r="AO9" s="28"/>
      <c r="AP9" s="28"/>
      <c r="AQ9" s="28"/>
    </row>
    <row r="10" spans="1:44">
      <c r="B10" s="34" t="s">
        <v>51</v>
      </c>
      <c r="C10" s="34" t="s">
        <v>52</v>
      </c>
      <c r="D10" s="31" t="s">
        <v>53</v>
      </c>
      <c r="E10" s="31" t="s">
        <v>54</v>
      </c>
      <c r="F10" s="31" t="s">
        <v>55</v>
      </c>
      <c r="G10" s="31" t="s">
        <v>56</v>
      </c>
      <c r="H10" s="31" t="s">
        <v>57</v>
      </c>
      <c r="I10" s="31" t="s">
        <v>58</v>
      </c>
      <c r="J10" s="31" t="s">
        <v>59</v>
      </c>
      <c r="K10" s="31" t="s">
        <v>60</v>
      </c>
      <c r="L10" s="31" t="s">
        <v>61</v>
      </c>
      <c r="M10" s="31" t="s">
        <v>62</v>
      </c>
      <c r="N10" s="31" t="s">
        <v>63</v>
      </c>
      <c r="O10" s="31" t="s">
        <v>64</v>
      </c>
      <c r="P10" s="31" t="s">
        <v>65</v>
      </c>
      <c r="Q10" s="31" t="s">
        <v>66</v>
      </c>
      <c r="R10" s="31" t="s">
        <v>67</v>
      </c>
      <c r="S10" s="31" t="s">
        <v>68</v>
      </c>
      <c r="T10" s="31" t="s">
        <v>69</v>
      </c>
      <c r="U10" s="31" t="s">
        <v>70</v>
      </c>
      <c r="V10" s="31" t="s">
        <v>71</v>
      </c>
      <c r="W10" s="31" t="s">
        <v>50</v>
      </c>
      <c r="X10" s="31" t="s">
        <v>51</v>
      </c>
      <c r="Y10" s="31" t="s">
        <v>52</v>
      </c>
      <c r="Z10" s="31" t="s">
        <v>53</v>
      </c>
      <c r="AA10" s="31" t="s">
        <v>54</v>
      </c>
      <c r="AB10" s="31" t="s">
        <v>55</v>
      </c>
      <c r="AC10" s="31" t="s">
        <v>56</v>
      </c>
      <c r="AD10" s="31" t="s">
        <v>57</v>
      </c>
      <c r="AE10" s="31" t="s">
        <v>58</v>
      </c>
      <c r="AF10" s="31" t="s">
        <v>59</v>
      </c>
      <c r="AG10" s="31" t="s">
        <v>60</v>
      </c>
      <c r="AH10" s="31" t="s">
        <v>61</v>
      </c>
      <c r="AI10" s="31" t="s">
        <v>62</v>
      </c>
      <c r="AJ10" s="31" t="s">
        <v>63</v>
      </c>
      <c r="AK10" s="31" t="s">
        <v>64</v>
      </c>
      <c r="AL10" s="31" t="s">
        <v>65</v>
      </c>
      <c r="AM10" s="31" t="s">
        <v>66</v>
      </c>
      <c r="AN10" s="31" t="s">
        <v>67</v>
      </c>
      <c r="AO10" s="31" t="s">
        <v>68</v>
      </c>
      <c r="AP10" s="31" t="s">
        <v>69</v>
      </c>
      <c r="AQ10" s="31" t="s">
        <v>70</v>
      </c>
    </row>
    <row r="11" spans="1:44">
      <c r="B11" s="58">
        <v>225</v>
      </c>
      <c r="C11" s="58">
        <v>275</v>
      </c>
      <c r="D11" s="58">
        <v>325</v>
      </c>
      <c r="E11" s="58">
        <v>375</v>
      </c>
      <c r="F11" s="58">
        <v>425</v>
      </c>
      <c r="G11" s="58">
        <v>475</v>
      </c>
      <c r="H11" s="58">
        <v>525</v>
      </c>
      <c r="I11" s="58">
        <v>575</v>
      </c>
      <c r="J11" s="58">
        <v>625</v>
      </c>
      <c r="K11" s="58">
        <v>675</v>
      </c>
      <c r="L11" s="58">
        <v>725</v>
      </c>
      <c r="M11" s="58">
        <v>775</v>
      </c>
      <c r="N11" s="58">
        <v>825</v>
      </c>
      <c r="O11" s="58">
        <v>875</v>
      </c>
      <c r="P11" s="58">
        <v>925</v>
      </c>
      <c r="Q11" s="58">
        <v>975</v>
      </c>
      <c r="R11" s="58">
        <v>1025</v>
      </c>
      <c r="S11" s="58">
        <v>1075</v>
      </c>
      <c r="T11" s="58">
        <v>1125</v>
      </c>
      <c r="U11" s="58">
        <v>1175</v>
      </c>
      <c r="V11" s="58">
        <v>1225</v>
      </c>
      <c r="W11" s="58"/>
      <c r="X11" s="58">
        <v>225</v>
      </c>
      <c r="Y11" s="58">
        <v>275</v>
      </c>
      <c r="Z11" s="58">
        <v>325</v>
      </c>
      <c r="AA11" s="58">
        <v>375</v>
      </c>
      <c r="AB11" s="58">
        <v>425</v>
      </c>
      <c r="AC11" s="58">
        <v>475</v>
      </c>
      <c r="AD11" s="58">
        <v>525</v>
      </c>
      <c r="AE11" s="58">
        <v>575</v>
      </c>
      <c r="AF11" s="58">
        <v>625</v>
      </c>
      <c r="AG11" s="58">
        <v>675</v>
      </c>
      <c r="AH11" s="58">
        <v>725</v>
      </c>
      <c r="AI11" s="58">
        <v>775</v>
      </c>
      <c r="AJ11" s="58">
        <v>825</v>
      </c>
      <c r="AK11" s="58">
        <v>875</v>
      </c>
      <c r="AL11" s="58">
        <v>925</v>
      </c>
      <c r="AM11" s="58">
        <v>975</v>
      </c>
      <c r="AN11" s="58">
        <v>1025</v>
      </c>
      <c r="AO11" s="58">
        <v>1075</v>
      </c>
      <c r="AP11" s="58">
        <v>1125</v>
      </c>
      <c r="AQ11" s="58">
        <v>1175</v>
      </c>
      <c r="AR11" s="59">
        <v>1225</v>
      </c>
    </row>
    <row r="12" spans="1:44">
      <c r="A12" s="32" t="s">
        <v>49</v>
      </c>
      <c r="B12" s="33"/>
      <c r="C12" s="33"/>
      <c r="D12" s="32" t="s">
        <v>49</v>
      </c>
      <c r="E12" s="32" t="s">
        <v>49</v>
      </c>
      <c r="F12" s="32" t="s">
        <v>49</v>
      </c>
      <c r="G12" s="32" t="s">
        <v>49</v>
      </c>
      <c r="H12" s="32" t="s">
        <v>49</v>
      </c>
      <c r="I12" s="32" t="s">
        <v>49</v>
      </c>
      <c r="J12" s="32" t="s">
        <v>49</v>
      </c>
      <c r="K12" s="32" t="s">
        <v>49</v>
      </c>
      <c r="L12" s="32" t="s">
        <v>49</v>
      </c>
      <c r="M12" s="32" t="s">
        <v>49</v>
      </c>
      <c r="N12" s="32" t="s">
        <v>49</v>
      </c>
      <c r="O12" s="32" t="s">
        <v>49</v>
      </c>
      <c r="P12" s="32" t="s">
        <v>49</v>
      </c>
      <c r="Q12" s="32" t="s">
        <v>49</v>
      </c>
      <c r="R12" s="32"/>
      <c r="S12" s="32"/>
      <c r="T12" s="32"/>
      <c r="U12" s="32"/>
      <c r="V12" s="32"/>
      <c r="W12" s="32" t="s">
        <v>49</v>
      </c>
      <c r="X12" s="32"/>
      <c r="Y12" s="32"/>
      <c r="Z12" s="32" t="s">
        <v>49</v>
      </c>
      <c r="AA12" s="32" t="s">
        <v>49</v>
      </c>
      <c r="AB12" s="32" t="s">
        <v>49</v>
      </c>
      <c r="AC12" s="32" t="s">
        <v>49</v>
      </c>
      <c r="AD12" s="32" t="s">
        <v>49</v>
      </c>
      <c r="AE12" s="32" t="s">
        <v>49</v>
      </c>
      <c r="AF12" s="32" t="s">
        <v>49</v>
      </c>
      <c r="AG12" s="32" t="s">
        <v>49</v>
      </c>
      <c r="AH12" s="32" t="s">
        <v>49</v>
      </c>
      <c r="AI12" s="32" t="s">
        <v>49</v>
      </c>
      <c r="AJ12" s="32" t="s">
        <v>49</v>
      </c>
      <c r="AK12" s="32" t="s">
        <v>49</v>
      </c>
      <c r="AL12" s="27"/>
      <c r="AM12" s="27"/>
      <c r="AN12" s="28"/>
      <c r="AO12" s="28"/>
      <c r="AP12" s="28"/>
      <c r="AQ12" s="31"/>
    </row>
    <row r="13" spans="1:44" ht="15.6">
      <c r="A13" s="82">
        <v>42951</v>
      </c>
      <c r="B13" s="83"/>
      <c r="C13" s="83"/>
      <c r="D13" s="84">
        <v>209.38999938964844</v>
      </c>
      <c r="E13" s="84">
        <v>192.69000244140625</v>
      </c>
      <c r="F13" s="84">
        <v>184.08999633789063</v>
      </c>
      <c r="G13" s="84">
        <v>173.08999633789063</v>
      </c>
      <c r="H13" s="84">
        <v>163.02999877929688</v>
      </c>
      <c r="I13" s="84">
        <v>162.80999755859375</v>
      </c>
      <c r="J13" s="84">
        <v>159.94000244140625</v>
      </c>
      <c r="K13" s="84">
        <v>156.78999328613281</v>
      </c>
      <c r="L13" s="84">
        <v>154.3699951171875</v>
      </c>
      <c r="M13" s="84">
        <v>149.55000305175781</v>
      </c>
      <c r="N13" s="84">
        <v>147.66000366210938</v>
      </c>
      <c r="O13" s="84">
        <v>141.32000732421875</v>
      </c>
      <c r="P13" s="84">
        <v>136.97000122070313</v>
      </c>
      <c r="Q13" s="84">
        <v>135.24000549316406</v>
      </c>
      <c r="R13" s="84">
        <v>134.55999755859375</v>
      </c>
      <c r="S13" s="83"/>
      <c r="T13" s="83"/>
      <c r="U13" s="83"/>
      <c r="V13" s="83"/>
      <c r="W13" s="83"/>
      <c r="X13" s="83"/>
      <c r="Y13" s="83"/>
      <c r="Z13" s="84">
        <v>169.82000732421875</v>
      </c>
      <c r="AA13" s="84">
        <v>163.33000183105469</v>
      </c>
      <c r="AB13" s="84">
        <v>155.94000244140625</v>
      </c>
      <c r="AC13" s="84">
        <v>149.6199951171875</v>
      </c>
      <c r="AD13" s="84">
        <v>147.77999877929688</v>
      </c>
      <c r="AE13" s="84">
        <v>143.8699951171875</v>
      </c>
      <c r="AF13" s="84">
        <v>143.22000122070313</v>
      </c>
      <c r="AG13" s="84">
        <v>141.66000366210938</v>
      </c>
      <c r="AH13" s="84">
        <v>140.33999633789063</v>
      </c>
      <c r="AI13" s="84">
        <v>137.21000671386719</v>
      </c>
      <c r="AJ13" s="84">
        <v>131.24000549316406</v>
      </c>
      <c r="AK13" s="84">
        <v>132.19000244140625</v>
      </c>
      <c r="AL13" s="85">
        <v>124.81999969482422</v>
      </c>
      <c r="AM13" s="85">
        <v>123.75</v>
      </c>
      <c r="AN13" s="83"/>
      <c r="AO13" s="86"/>
      <c r="AP13" s="86"/>
      <c r="AQ13" s="76"/>
      <c r="AR13"/>
    </row>
    <row r="14" spans="1:44">
      <c r="AQ14" s="28"/>
    </row>
    <row r="15" spans="1:44">
      <c r="AQ15" s="21"/>
    </row>
    <row r="290" spans="1:47" s="22" customFormat="1">
      <c r="A290" s="19"/>
      <c r="B290" s="23"/>
      <c r="C290" s="23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</row>
    <row r="291" spans="1:47" s="22" customFormat="1">
      <c r="A291" s="19"/>
      <c r="B291" s="23"/>
      <c r="C291" s="23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</row>
    <row r="292" spans="1:47" s="22" customFormat="1">
      <c r="A292" s="19"/>
      <c r="B292" s="23"/>
      <c r="C292" s="23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</row>
    <row r="293" spans="1:47" s="22" customFormat="1">
      <c r="A293" s="19"/>
      <c r="B293" s="23"/>
      <c r="C293" s="23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</row>
    <row r="294" spans="1:47" s="22" customFormat="1">
      <c r="A294" s="19"/>
      <c r="B294" s="23"/>
      <c r="C294" s="23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</row>
    <row r="295" spans="1:47" s="22" customFormat="1">
      <c r="A295" s="19"/>
      <c r="B295" s="23"/>
      <c r="C295" s="23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</row>
    <row r="407" spans="48:256"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  <c r="IT407" s="13"/>
      <c r="IU407" s="13"/>
      <c r="IV407" s="13"/>
    </row>
    <row r="408" spans="48:256"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</row>
    <row r="409" spans="48:256"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  <c r="IV409" s="13"/>
    </row>
    <row r="410" spans="48:256"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</row>
    <row r="411" spans="48:256"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  <c r="IV411" s="13"/>
    </row>
    <row r="412" spans="48:256"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  <c r="IV412" s="13"/>
    </row>
    <row r="413" spans="48:256"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  <c r="IT413" s="13"/>
      <c r="IU413" s="13"/>
      <c r="IV413" s="13"/>
    </row>
    <row r="414" spans="48:256"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  <c r="IV414" s="13"/>
    </row>
    <row r="415" spans="48:256"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  <c r="IT415" s="13"/>
      <c r="IU415" s="13"/>
      <c r="IV415" s="13"/>
    </row>
    <row r="416" spans="48:256"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  <c r="IV416" s="13"/>
    </row>
    <row r="417" spans="48:256"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  <c r="IT417" s="13"/>
      <c r="IU417" s="13"/>
      <c r="IV417" s="13"/>
    </row>
    <row r="418" spans="48:256"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</row>
    <row r="419" spans="48:256"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  <c r="IV419" s="13"/>
    </row>
    <row r="420" spans="48:256"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</row>
    <row r="421" spans="48:256"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  <c r="IV421" s="13"/>
    </row>
    <row r="422" spans="48:256"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</row>
    <row r="423" spans="48:256"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</row>
    <row r="424" spans="48:256"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R21"/>
  <sheetViews>
    <sheetView workbookViewId="0">
      <selection activeCell="A13" sqref="A13:AR13"/>
    </sheetView>
  </sheetViews>
  <sheetFormatPr defaultRowHeight="14.4"/>
  <cols>
    <col min="1" max="1" width="11.44140625" customWidth="1"/>
  </cols>
  <sheetData>
    <row r="1" spans="1:44" ht="15.6">
      <c r="A1" s="80">
        <v>42958</v>
      </c>
      <c r="B1" s="36" t="s">
        <v>132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8"/>
      <c r="T1" s="38"/>
      <c r="U1" s="38"/>
      <c r="V1" s="38"/>
      <c r="W1" s="38"/>
      <c r="X1" s="39"/>
      <c r="Y1" s="39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9"/>
      <c r="AK1" s="39"/>
      <c r="AL1" s="38"/>
      <c r="AM1" s="38"/>
      <c r="AN1" s="38"/>
      <c r="AO1" s="38"/>
      <c r="AP1" s="40"/>
      <c r="AQ1" s="40"/>
      <c r="AR1" s="40"/>
    </row>
    <row r="2" spans="1:44" ht="15.6">
      <c r="A2" s="35" t="s">
        <v>79</v>
      </c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8"/>
      <c r="T2" s="38"/>
      <c r="U2" s="38"/>
      <c r="V2" s="38"/>
      <c r="W2" s="38"/>
      <c r="X2" s="39"/>
      <c r="Y2" s="39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39"/>
      <c r="AL2" s="38"/>
      <c r="AM2" s="38"/>
      <c r="AN2" s="38"/>
      <c r="AO2" s="38"/>
      <c r="AP2" s="40"/>
      <c r="AQ2" s="40"/>
      <c r="AR2" s="40"/>
    </row>
    <row r="3" spans="1:44" ht="15.6">
      <c r="A3" s="35" t="s">
        <v>80</v>
      </c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8"/>
      <c r="T3" s="38"/>
      <c r="U3" s="38"/>
      <c r="V3" s="38"/>
      <c r="W3" s="38"/>
      <c r="X3" s="39"/>
      <c r="Y3" s="39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8"/>
      <c r="AM3" s="38"/>
      <c r="AN3" s="38"/>
      <c r="AO3" s="38"/>
      <c r="AP3" s="40"/>
      <c r="AQ3" s="40"/>
      <c r="AR3" s="40"/>
    </row>
    <row r="4" spans="1:44" ht="15.6">
      <c r="A4" s="41"/>
      <c r="B4" s="36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8"/>
      <c r="T4" s="38"/>
      <c r="U4" s="38"/>
      <c r="V4" s="38"/>
      <c r="W4" s="38"/>
      <c r="X4" s="39"/>
      <c r="Y4" s="39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39"/>
      <c r="AL4" s="38"/>
      <c r="AM4" s="38"/>
      <c r="AN4" s="38"/>
      <c r="AO4" s="38"/>
      <c r="AP4" s="40"/>
      <c r="AQ4" s="40"/>
      <c r="AR4" s="40"/>
    </row>
    <row r="5" spans="1:44" ht="15.6">
      <c r="A5" s="41"/>
      <c r="B5" s="3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8"/>
      <c r="T5" s="38"/>
      <c r="U5" s="38"/>
      <c r="V5" s="38"/>
      <c r="W5" s="38"/>
      <c r="X5" s="39"/>
      <c r="Y5" s="39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39"/>
      <c r="AL5" s="38"/>
      <c r="AM5" s="38"/>
      <c r="AN5" s="38"/>
      <c r="AO5" s="38"/>
      <c r="AP5" s="40"/>
      <c r="AQ5" s="40"/>
      <c r="AR5" s="40"/>
    </row>
    <row r="6" spans="1:44" ht="15.6">
      <c r="A6" s="41"/>
      <c r="B6" s="36"/>
      <c r="C6" s="37"/>
      <c r="D6" s="37" t="s">
        <v>47</v>
      </c>
      <c r="E6" s="38"/>
      <c r="F6" s="38"/>
      <c r="G6" s="37" t="s">
        <v>48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38"/>
      <c r="T6" s="38"/>
      <c r="U6" s="38"/>
      <c r="V6" s="38"/>
      <c r="W6" s="38"/>
      <c r="X6" s="39"/>
      <c r="Y6" s="39"/>
      <c r="Z6" s="37" t="s">
        <v>44</v>
      </c>
      <c r="AA6" s="38"/>
      <c r="AB6" s="38"/>
      <c r="AC6" s="37" t="s">
        <v>48</v>
      </c>
      <c r="AD6" s="38"/>
      <c r="AE6" s="38"/>
      <c r="AF6" s="38"/>
      <c r="AG6" s="38"/>
      <c r="AH6" s="38"/>
      <c r="AI6" s="38"/>
      <c r="AJ6" s="39"/>
      <c r="AK6" s="39"/>
      <c r="AL6" s="38"/>
      <c r="AM6" s="38"/>
      <c r="AN6" s="38"/>
      <c r="AO6" s="38"/>
      <c r="AP6" s="40"/>
      <c r="AQ6" s="40"/>
      <c r="AR6" s="40"/>
    </row>
    <row r="7" spans="1:44" ht="15.6">
      <c r="A7" s="43" t="s">
        <v>49</v>
      </c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  <c r="S7" s="38"/>
      <c r="T7" s="38"/>
      <c r="U7" s="38"/>
      <c r="V7" s="38"/>
      <c r="W7" s="38"/>
      <c r="X7" s="39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39"/>
      <c r="AL7" s="38"/>
      <c r="AM7" s="38"/>
      <c r="AN7" s="38"/>
      <c r="AO7" s="38"/>
      <c r="AP7" s="40"/>
      <c r="AQ7" s="40"/>
      <c r="AR7" s="40"/>
    </row>
    <row r="8" spans="1:44" ht="15.6">
      <c r="A8" s="41"/>
      <c r="B8" s="44" t="s">
        <v>81</v>
      </c>
      <c r="C8" s="42" t="s">
        <v>82</v>
      </c>
      <c r="D8" s="42" t="s">
        <v>83</v>
      </c>
      <c r="E8" s="42" t="s">
        <v>84</v>
      </c>
      <c r="F8" s="42" t="s">
        <v>85</v>
      </c>
      <c r="G8" s="42" t="s">
        <v>86</v>
      </c>
      <c r="H8" s="42" t="s">
        <v>87</v>
      </c>
      <c r="I8" s="42" t="s">
        <v>88</v>
      </c>
      <c r="J8" s="42" t="s">
        <v>89</v>
      </c>
      <c r="K8" s="42" t="s">
        <v>90</v>
      </c>
      <c r="L8" s="42" t="s">
        <v>91</v>
      </c>
      <c r="M8" s="42" t="s">
        <v>92</v>
      </c>
      <c r="N8" s="42" t="s">
        <v>93</v>
      </c>
      <c r="O8" s="42" t="s">
        <v>94</v>
      </c>
      <c r="P8" s="42" t="s">
        <v>95</v>
      </c>
      <c r="Q8" s="42" t="s">
        <v>96</v>
      </c>
      <c r="R8" s="45" t="s">
        <v>97</v>
      </c>
      <c r="S8" s="42" t="s">
        <v>98</v>
      </c>
      <c r="T8" s="42" t="s">
        <v>99</v>
      </c>
      <c r="U8" s="42" t="s">
        <v>100</v>
      </c>
      <c r="V8" s="42"/>
      <c r="W8" s="42" t="s">
        <v>50</v>
      </c>
      <c r="X8" s="45" t="s">
        <v>101</v>
      </c>
      <c r="Y8" s="45" t="s">
        <v>102</v>
      </c>
      <c r="Z8" s="42" t="s">
        <v>103</v>
      </c>
      <c r="AA8" s="42" t="s">
        <v>104</v>
      </c>
      <c r="AB8" s="42" t="s">
        <v>105</v>
      </c>
      <c r="AC8" s="42" t="s">
        <v>106</v>
      </c>
      <c r="AD8" s="42" t="s">
        <v>107</v>
      </c>
      <c r="AE8" s="42" t="s">
        <v>108</v>
      </c>
      <c r="AF8" s="42" t="s">
        <v>109</v>
      </c>
      <c r="AG8" s="42" t="s">
        <v>110</v>
      </c>
      <c r="AH8" s="42" t="s">
        <v>111</v>
      </c>
      <c r="AI8" s="42" t="s">
        <v>112</v>
      </c>
      <c r="AJ8" s="45" t="s">
        <v>113</v>
      </c>
      <c r="AK8" s="45" t="s">
        <v>114</v>
      </c>
      <c r="AL8" s="44" t="s">
        <v>115</v>
      </c>
      <c r="AM8" s="44" t="s">
        <v>116</v>
      </c>
      <c r="AN8" s="44" t="s">
        <v>117</v>
      </c>
      <c r="AO8" s="44" t="s">
        <v>118</v>
      </c>
      <c r="AP8" s="40"/>
      <c r="AQ8" s="40"/>
      <c r="AR8" s="40"/>
    </row>
    <row r="9" spans="1:44" ht="15.6">
      <c r="A9" s="41"/>
      <c r="B9" s="44"/>
      <c r="C9" s="4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38"/>
      <c r="T9" s="38"/>
      <c r="U9" s="38"/>
      <c r="V9" s="38"/>
      <c r="W9" s="42" t="s">
        <v>50</v>
      </c>
      <c r="X9" s="45"/>
      <c r="Y9" s="45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39"/>
      <c r="AL9" s="38"/>
      <c r="AM9" s="38"/>
      <c r="AN9" s="38"/>
      <c r="AO9" s="38"/>
      <c r="AP9" s="38"/>
      <c r="AQ9" s="40"/>
      <c r="AR9" s="40"/>
    </row>
    <row r="10" spans="1:44" ht="15.6">
      <c r="A10" s="41"/>
      <c r="B10" s="44" t="s">
        <v>51</v>
      </c>
      <c r="C10" s="42" t="s">
        <v>52</v>
      </c>
      <c r="D10" s="42" t="s">
        <v>53</v>
      </c>
      <c r="E10" s="42" t="s">
        <v>54</v>
      </c>
      <c r="F10" s="42" t="s">
        <v>55</v>
      </c>
      <c r="G10" s="42" t="s">
        <v>56</v>
      </c>
      <c r="H10" s="42" t="s">
        <v>57</v>
      </c>
      <c r="I10" s="42" t="s">
        <v>58</v>
      </c>
      <c r="J10" s="42" t="s">
        <v>59</v>
      </c>
      <c r="K10" s="42" t="s">
        <v>60</v>
      </c>
      <c r="L10" s="42" t="s">
        <v>61</v>
      </c>
      <c r="M10" s="42" t="s">
        <v>62</v>
      </c>
      <c r="N10" s="42" t="s">
        <v>63</v>
      </c>
      <c r="O10" s="42" t="s">
        <v>64</v>
      </c>
      <c r="P10" s="42" t="s">
        <v>65</v>
      </c>
      <c r="Q10" s="42" t="s">
        <v>66</v>
      </c>
      <c r="R10" s="45" t="s">
        <v>67</v>
      </c>
      <c r="S10" s="42" t="s">
        <v>68</v>
      </c>
      <c r="T10" s="42" t="s">
        <v>69</v>
      </c>
      <c r="U10" s="42" t="s">
        <v>70</v>
      </c>
      <c r="V10" s="42" t="s">
        <v>71</v>
      </c>
      <c r="W10" s="42" t="s">
        <v>50</v>
      </c>
      <c r="X10" s="45" t="s">
        <v>51</v>
      </c>
      <c r="Y10" s="45" t="s">
        <v>52</v>
      </c>
      <c r="Z10" s="42" t="s">
        <v>53</v>
      </c>
      <c r="AA10" s="42" t="s">
        <v>54</v>
      </c>
      <c r="AB10" s="42" t="s">
        <v>55</v>
      </c>
      <c r="AC10" s="42" t="s">
        <v>56</v>
      </c>
      <c r="AD10" s="42" t="s">
        <v>57</v>
      </c>
      <c r="AE10" s="42" t="s">
        <v>58</v>
      </c>
      <c r="AF10" s="42" t="s">
        <v>59</v>
      </c>
      <c r="AG10" s="42" t="s">
        <v>60</v>
      </c>
      <c r="AH10" s="42" t="s">
        <v>61</v>
      </c>
      <c r="AI10" s="42" t="s">
        <v>62</v>
      </c>
      <c r="AJ10" s="45" t="s">
        <v>63</v>
      </c>
      <c r="AK10" s="45" t="s">
        <v>64</v>
      </c>
      <c r="AL10" s="44" t="s">
        <v>65</v>
      </c>
      <c r="AM10" s="44" t="s">
        <v>66</v>
      </c>
      <c r="AN10" s="38" t="s">
        <v>67</v>
      </c>
      <c r="AO10" s="38" t="s">
        <v>68</v>
      </c>
      <c r="AP10" s="38" t="s">
        <v>69</v>
      </c>
      <c r="AQ10" s="38" t="s">
        <v>70</v>
      </c>
      <c r="AR10" s="38" t="s">
        <v>71</v>
      </c>
    </row>
    <row r="11" spans="1:44" ht="15.6">
      <c r="A11" s="41"/>
      <c r="B11" s="57">
        <v>225</v>
      </c>
      <c r="C11" s="57">
        <v>275</v>
      </c>
      <c r="D11" s="57">
        <v>325</v>
      </c>
      <c r="E11" s="57">
        <v>375</v>
      </c>
      <c r="F11" s="57">
        <v>425</v>
      </c>
      <c r="G11" s="57">
        <v>475</v>
      </c>
      <c r="H11" s="57">
        <v>525</v>
      </c>
      <c r="I11" s="57">
        <v>575</v>
      </c>
      <c r="J11" s="57">
        <v>625</v>
      </c>
      <c r="K11" s="57">
        <v>675</v>
      </c>
      <c r="L11" s="57">
        <v>725</v>
      </c>
      <c r="M11" s="57">
        <v>775</v>
      </c>
      <c r="N11" s="57">
        <v>825</v>
      </c>
      <c r="O11" s="57">
        <v>875</v>
      </c>
      <c r="P11" s="57">
        <v>925</v>
      </c>
      <c r="Q11" s="57">
        <v>975</v>
      </c>
      <c r="R11" s="57">
        <v>1025</v>
      </c>
      <c r="S11" s="57">
        <v>1075</v>
      </c>
      <c r="T11" s="57">
        <v>1125</v>
      </c>
      <c r="U11" s="57">
        <v>1175</v>
      </c>
      <c r="V11" s="57">
        <v>1225</v>
      </c>
      <c r="W11" s="42"/>
      <c r="X11" s="45">
        <v>225</v>
      </c>
      <c r="Y11" s="45">
        <v>275</v>
      </c>
      <c r="Z11" s="42">
        <v>325</v>
      </c>
      <c r="AA11" s="42">
        <v>375</v>
      </c>
      <c r="AB11" s="42">
        <v>425</v>
      </c>
      <c r="AC11" s="42">
        <v>475</v>
      </c>
      <c r="AD11" s="42">
        <v>525</v>
      </c>
      <c r="AE11" s="42">
        <v>575</v>
      </c>
      <c r="AF11" s="42">
        <v>625</v>
      </c>
      <c r="AG11" s="42">
        <v>675</v>
      </c>
      <c r="AH11" s="42">
        <v>725</v>
      </c>
      <c r="AI11" s="42">
        <v>775</v>
      </c>
      <c r="AJ11" s="45">
        <v>825</v>
      </c>
      <c r="AK11" s="45">
        <v>875</v>
      </c>
      <c r="AL11" s="44">
        <v>925</v>
      </c>
      <c r="AM11" s="44">
        <v>975</v>
      </c>
      <c r="AN11" s="38">
        <v>1025</v>
      </c>
      <c r="AO11" s="38">
        <v>1075</v>
      </c>
      <c r="AP11" s="38">
        <v>1125</v>
      </c>
      <c r="AQ11" s="38">
        <v>1175</v>
      </c>
      <c r="AR11" s="38">
        <v>1225</v>
      </c>
    </row>
    <row r="12" spans="1:44" ht="15.6">
      <c r="A12" s="43" t="s">
        <v>49</v>
      </c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38"/>
      <c r="T12" s="38"/>
      <c r="U12" s="38"/>
      <c r="V12" s="38"/>
      <c r="W12" s="38"/>
      <c r="X12" s="39"/>
      <c r="Y12" s="39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  <c r="AK12" s="39"/>
      <c r="AL12" s="38"/>
      <c r="AM12" s="38"/>
      <c r="AN12" s="38"/>
      <c r="AO12" s="38"/>
      <c r="AP12" s="40"/>
      <c r="AQ12" s="40"/>
      <c r="AR12" s="40"/>
    </row>
    <row r="13" spans="1:44" ht="15.6">
      <c r="A13" s="82">
        <v>42951</v>
      </c>
      <c r="B13" s="83"/>
      <c r="C13" s="83"/>
      <c r="D13" s="84">
        <v>209.38999938964844</v>
      </c>
      <c r="E13" s="84">
        <v>192.69000244140625</v>
      </c>
      <c r="F13" s="84">
        <v>184.08999633789063</v>
      </c>
      <c r="G13" s="84">
        <v>173.08999633789063</v>
      </c>
      <c r="H13" s="84">
        <v>163.02999877929688</v>
      </c>
      <c r="I13" s="84">
        <v>162.80999755859375</v>
      </c>
      <c r="J13" s="84">
        <v>159.94000244140625</v>
      </c>
      <c r="K13" s="84">
        <v>156.78999328613281</v>
      </c>
      <c r="L13" s="84">
        <v>154.3699951171875</v>
      </c>
      <c r="M13" s="84">
        <v>149.55000305175781</v>
      </c>
      <c r="N13" s="84">
        <v>147.66000366210938</v>
      </c>
      <c r="O13" s="84">
        <v>141.32000732421875</v>
      </c>
      <c r="P13" s="84">
        <v>136.97000122070313</v>
      </c>
      <c r="Q13" s="84">
        <v>135.24000549316406</v>
      </c>
      <c r="R13" s="84">
        <v>134.55999755859375</v>
      </c>
      <c r="S13" s="83"/>
      <c r="T13" s="83"/>
      <c r="U13" s="83"/>
      <c r="V13" s="83"/>
      <c r="W13" s="83"/>
      <c r="X13" s="83"/>
      <c r="Y13" s="83"/>
      <c r="Z13" s="84">
        <v>169.82000732421875</v>
      </c>
      <c r="AA13" s="84">
        <v>163.33000183105469</v>
      </c>
      <c r="AB13" s="84">
        <v>155.94000244140625</v>
      </c>
      <c r="AC13" s="84">
        <v>149.6199951171875</v>
      </c>
      <c r="AD13" s="84">
        <v>147.77999877929688</v>
      </c>
      <c r="AE13" s="84">
        <v>143.8699951171875</v>
      </c>
      <c r="AF13" s="84">
        <v>143.22000122070313</v>
      </c>
      <c r="AG13" s="84">
        <v>141.66000366210938</v>
      </c>
      <c r="AH13" s="84">
        <v>140.33999633789063</v>
      </c>
      <c r="AI13" s="84">
        <v>137.21000671386719</v>
      </c>
      <c r="AJ13" s="84">
        <v>131.24000549316406</v>
      </c>
      <c r="AK13" s="84">
        <v>132.19000244140625</v>
      </c>
      <c r="AL13" s="85">
        <v>124.81999969482422</v>
      </c>
      <c r="AM13" s="85">
        <v>123.75</v>
      </c>
      <c r="AN13" s="83"/>
      <c r="AO13" s="86"/>
      <c r="AP13" s="86"/>
      <c r="AQ13" s="76"/>
    </row>
    <row r="15" spans="1:44">
      <c r="F15" t="s">
        <v>210</v>
      </c>
    </row>
    <row r="16" spans="1:44">
      <c r="F16">
        <f>F11*F13/100</f>
        <v>782.38248443603516</v>
      </c>
      <c r="G16">
        <f t="shared" ref="G16:P16" si="0">G11*G13/100</f>
        <v>822.17748260498047</v>
      </c>
      <c r="H16">
        <f t="shared" si="0"/>
        <v>855.90749359130859</v>
      </c>
      <c r="I16">
        <f t="shared" si="0"/>
        <v>936.15748596191406</v>
      </c>
      <c r="J16">
        <f t="shared" si="0"/>
        <v>999.62501525878906</v>
      </c>
      <c r="K16">
        <f t="shared" si="0"/>
        <v>1058.3324546813965</v>
      </c>
      <c r="L16">
        <f t="shared" si="0"/>
        <v>1119.1824645996094</v>
      </c>
      <c r="M16">
        <f t="shared" si="0"/>
        <v>1159.012523651123</v>
      </c>
      <c r="N16">
        <f t="shared" si="0"/>
        <v>1218.1950302124023</v>
      </c>
      <c r="O16">
        <f t="shared" si="0"/>
        <v>1236.5500640869141</v>
      </c>
      <c r="P16">
        <f t="shared" si="0"/>
        <v>1266.9725112915039</v>
      </c>
    </row>
    <row r="17" spans="7:16">
      <c r="G17">
        <f>G16-F16</f>
        <v>39.794998168945313</v>
      </c>
      <c r="H17">
        <f t="shared" ref="H17:P17" si="1">H16-G16</f>
        <v>33.730010986328125</v>
      </c>
      <c r="I17">
        <f t="shared" si="1"/>
        <v>80.249992370605469</v>
      </c>
      <c r="J17">
        <f t="shared" si="1"/>
        <v>63.467529296875</v>
      </c>
      <c r="K17">
        <f t="shared" si="1"/>
        <v>58.707439422607422</v>
      </c>
      <c r="L17">
        <f t="shared" si="1"/>
        <v>60.850009918212891</v>
      </c>
      <c r="M17">
        <f t="shared" si="1"/>
        <v>39.830059051513672</v>
      </c>
      <c r="N17">
        <f t="shared" si="1"/>
        <v>59.182506561279297</v>
      </c>
      <c r="O17">
        <f t="shared" si="1"/>
        <v>18.355033874511719</v>
      </c>
      <c r="P17">
        <f t="shared" si="1"/>
        <v>30.422447204589844</v>
      </c>
    </row>
    <row r="18" spans="7:16">
      <c r="G18">
        <f>G17/50</f>
        <v>0.79589996337890623</v>
      </c>
      <c r="H18">
        <f t="shared" ref="H18:P18" si="2">H17/50</f>
        <v>0.67460021972656248</v>
      </c>
      <c r="I18">
        <f t="shared" si="2"/>
        <v>1.6049998474121094</v>
      </c>
      <c r="J18">
        <f t="shared" si="2"/>
        <v>1.2693505859375001</v>
      </c>
      <c r="K18">
        <f t="shared" si="2"/>
        <v>1.1741487884521484</v>
      </c>
      <c r="L18">
        <f t="shared" si="2"/>
        <v>1.2170001983642578</v>
      </c>
      <c r="M18">
        <f t="shared" si="2"/>
        <v>0.79660118103027344</v>
      </c>
      <c r="N18">
        <f t="shared" si="2"/>
        <v>1.183650131225586</v>
      </c>
      <c r="O18">
        <f t="shared" si="2"/>
        <v>0.36710067749023439</v>
      </c>
      <c r="P18">
        <f t="shared" si="2"/>
        <v>0.60844894409179684</v>
      </c>
    </row>
    <row r="20" spans="7:16">
      <c r="G20" t="s">
        <v>211</v>
      </c>
      <c r="H20" t="s">
        <v>212</v>
      </c>
      <c r="I20" t="s">
        <v>213</v>
      </c>
      <c r="J20" t="s">
        <v>214</v>
      </c>
    </row>
    <row r="21" spans="7:16">
      <c r="G21">
        <f>(J18-H18)/100</f>
        <v>5.9475036621093758E-3</v>
      </c>
      <c r="H21">
        <f>(L16-H16)/200</f>
        <v>1.316374855041504</v>
      </c>
      <c r="I21">
        <f>(L16-J16)/100</f>
        <v>1.1955744934082031</v>
      </c>
      <c r="J21">
        <f>(N16-J16)/100</f>
        <v>2.185700149536133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K5"/>
  <sheetViews>
    <sheetView workbookViewId="0"/>
  </sheetViews>
  <sheetFormatPr defaultRowHeight="14.4"/>
  <cols>
    <col min="1" max="1" width="10.44140625" customWidth="1"/>
  </cols>
  <sheetData>
    <row r="1" spans="1:11" ht="15.6">
      <c r="A1" s="87">
        <v>42951</v>
      </c>
      <c r="B1" s="46"/>
      <c r="C1" s="47"/>
      <c r="D1" s="48" t="s">
        <v>119</v>
      </c>
      <c r="E1" s="46"/>
      <c r="F1" s="46"/>
      <c r="G1" s="46"/>
      <c r="H1" s="46"/>
      <c r="I1" s="46"/>
      <c r="J1" s="46"/>
      <c r="K1" s="49"/>
    </row>
    <row r="2" spans="1:11" ht="15.6">
      <c r="B2" s="46"/>
      <c r="C2" s="50" t="s">
        <v>120</v>
      </c>
      <c r="D2" s="47"/>
      <c r="E2" s="46"/>
      <c r="F2" s="46"/>
      <c r="G2" s="46"/>
      <c r="H2" s="46"/>
      <c r="I2" s="46"/>
      <c r="J2" s="46"/>
      <c r="K2" s="49"/>
    </row>
    <row r="3" spans="1:11" ht="15.6">
      <c r="A3" s="51"/>
      <c r="B3" s="46"/>
      <c r="C3" s="52" t="s">
        <v>121</v>
      </c>
      <c r="D3" s="52" t="s">
        <v>122</v>
      </c>
      <c r="E3" s="52" t="s">
        <v>123</v>
      </c>
      <c r="F3" s="52" t="s">
        <v>124</v>
      </c>
      <c r="G3" s="52" t="s">
        <v>125</v>
      </c>
      <c r="H3" s="52" t="s">
        <v>126</v>
      </c>
      <c r="I3" s="52" t="s">
        <v>127</v>
      </c>
      <c r="J3" s="52" t="s">
        <v>128</v>
      </c>
      <c r="K3" s="49" t="s">
        <v>129</v>
      </c>
    </row>
    <row r="4" spans="1:11" ht="15.6">
      <c r="A4" s="53"/>
      <c r="B4" s="46"/>
      <c r="C4" s="46">
        <v>1</v>
      </c>
      <c r="D4" s="46">
        <v>3</v>
      </c>
      <c r="E4" s="46">
        <v>4</v>
      </c>
      <c r="F4" s="46">
        <v>5</v>
      </c>
      <c r="G4" s="46">
        <v>8</v>
      </c>
      <c r="H4" s="46">
        <v>9</v>
      </c>
      <c r="I4" s="46">
        <v>10</v>
      </c>
      <c r="J4" s="46">
        <v>11</v>
      </c>
      <c r="K4" s="49"/>
    </row>
    <row r="5" spans="1:11" ht="15.6">
      <c r="A5" s="87">
        <v>42951</v>
      </c>
      <c r="B5" s="81"/>
      <c r="C5" s="77">
        <v>145.72500610351563</v>
      </c>
      <c r="D5" s="77">
        <v>143.55000305175781</v>
      </c>
      <c r="E5" s="77">
        <v>143.25</v>
      </c>
      <c r="F5" s="77">
        <v>142.60000610351563</v>
      </c>
      <c r="G5" s="77">
        <v>149.94999694824219</v>
      </c>
      <c r="H5" s="77">
        <v>150.85000610351563</v>
      </c>
      <c r="I5" s="77">
        <v>149.92500305175781</v>
      </c>
      <c r="J5" s="77">
        <v>148.77499389648438</v>
      </c>
      <c r="K5" s="78">
        <v>149.94999694824219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18"/>
  <sheetViews>
    <sheetView workbookViewId="0">
      <selection sqref="A1:N18"/>
    </sheetView>
  </sheetViews>
  <sheetFormatPr defaultRowHeight="14.4"/>
  <cols>
    <col min="1" max="1" width="11.44140625" customWidth="1"/>
  </cols>
  <sheetData>
    <row r="1" spans="1:14" ht="15" thickBot="1">
      <c r="A1" t="s">
        <v>208</v>
      </c>
      <c r="B1" s="62" t="s">
        <v>142</v>
      </c>
      <c r="C1" s="62" t="s">
        <v>143</v>
      </c>
      <c r="D1" s="62" t="s">
        <v>144</v>
      </c>
      <c r="E1" s="62" t="s">
        <v>145</v>
      </c>
      <c r="F1" s="62" t="s">
        <v>146</v>
      </c>
      <c r="G1" s="62" t="s">
        <v>153</v>
      </c>
      <c r="H1" s="62" t="s">
        <v>154</v>
      </c>
      <c r="I1" s="62" t="s">
        <v>149</v>
      </c>
      <c r="J1" s="62" t="s">
        <v>155</v>
      </c>
      <c r="K1" s="62" t="s">
        <v>151</v>
      </c>
      <c r="L1" s="62" t="s">
        <v>140</v>
      </c>
      <c r="M1" s="62" t="s">
        <v>152</v>
      </c>
      <c r="N1" s="79" t="s">
        <v>134</v>
      </c>
    </row>
    <row r="2" spans="1:14">
      <c r="A2">
        <v>499</v>
      </c>
      <c r="B2" s="54">
        <v>38.463999999999999</v>
      </c>
      <c r="C2" s="54">
        <v>39.793999999999997</v>
      </c>
      <c r="D2" s="54">
        <v>44.882000000000005</v>
      </c>
      <c r="E2" s="54">
        <v>41.076000000000001</v>
      </c>
      <c r="F2" s="54">
        <v>35.678000000000004</v>
      </c>
      <c r="G2" s="54">
        <v>34.025999999999996</v>
      </c>
      <c r="H2" s="54">
        <v>24.54</v>
      </c>
      <c r="I2" s="54">
        <v>35.036000000000001</v>
      </c>
      <c r="J2" s="54">
        <v>31.077999999999996</v>
      </c>
      <c r="K2" s="54">
        <v>33.765999999999998</v>
      </c>
      <c r="L2" s="54">
        <v>44.489999999999995</v>
      </c>
      <c r="M2" s="54">
        <v>51.088000000000001</v>
      </c>
    </row>
    <row r="3" spans="1:14">
      <c r="A3">
        <v>599</v>
      </c>
      <c r="B3" s="63">
        <v>22.052</v>
      </c>
      <c r="C3" s="63">
        <v>25.32</v>
      </c>
      <c r="D3" s="63">
        <v>30.78</v>
      </c>
      <c r="E3" s="63">
        <v>27.483999999999998</v>
      </c>
      <c r="F3" s="63">
        <v>24.802</v>
      </c>
      <c r="G3" s="63">
        <v>19.242000000000001</v>
      </c>
      <c r="H3" s="63">
        <v>17.084</v>
      </c>
      <c r="I3" s="63">
        <v>19.963999999999999</v>
      </c>
      <c r="J3" s="63">
        <v>12.878</v>
      </c>
      <c r="K3" s="63">
        <v>16.164000000000001</v>
      </c>
      <c r="L3" s="63">
        <v>24.032000000000004</v>
      </c>
      <c r="M3" s="63">
        <v>25.57</v>
      </c>
    </row>
    <row r="4" spans="1:14">
      <c r="A4">
        <v>699</v>
      </c>
      <c r="B4" s="63">
        <v>6.734</v>
      </c>
      <c r="C4" s="63">
        <v>8.9640000000000004</v>
      </c>
      <c r="D4" s="63">
        <v>13.803999999999998</v>
      </c>
      <c r="E4" s="63">
        <v>13.324000000000002</v>
      </c>
      <c r="F4" s="63">
        <v>10.687999999999999</v>
      </c>
      <c r="G4" s="63">
        <v>6.2960000000000012</v>
      </c>
      <c r="H4" s="63">
        <v>7.0220000000000002</v>
      </c>
      <c r="I4" s="63">
        <v>8.6</v>
      </c>
      <c r="J4" s="63">
        <v>7.9819999999999993</v>
      </c>
      <c r="K4" s="63">
        <v>6.0679999999999996</v>
      </c>
      <c r="L4" s="63">
        <v>7.5</v>
      </c>
      <c r="M4" s="63">
        <v>10.812000000000001</v>
      </c>
    </row>
    <row r="5" spans="1:14">
      <c r="A5">
        <v>799</v>
      </c>
      <c r="B5" s="63">
        <v>-6.5999999999999975E-2</v>
      </c>
      <c r="C5" s="63">
        <v>-0.378</v>
      </c>
      <c r="D5" s="63">
        <v>1.026</v>
      </c>
      <c r="E5" s="63">
        <v>0.92599999999999993</v>
      </c>
      <c r="F5" s="63">
        <v>1.0100000000000002</v>
      </c>
      <c r="G5" s="63">
        <v>-1.6</v>
      </c>
      <c r="H5" s="63">
        <v>0.40399999999999991</v>
      </c>
      <c r="I5" s="63">
        <v>1.8359999999999999</v>
      </c>
      <c r="J5" s="63">
        <v>1.4780000000000002</v>
      </c>
      <c r="K5" s="63">
        <v>1.1519999999999999</v>
      </c>
      <c r="L5" s="63">
        <v>0.94800000000000006</v>
      </c>
      <c r="M5" s="63">
        <v>0.9760000000000002</v>
      </c>
    </row>
    <row r="7" spans="1:14" ht="15" thickBot="1">
      <c r="A7" t="s">
        <v>215</v>
      </c>
      <c r="B7" s="62" t="s">
        <v>142</v>
      </c>
      <c r="C7" s="62" t="s">
        <v>143</v>
      </c>
      <c r="D7" s="62" t="s">
        <v>144</v>
      </c>
      <c r="E7" s="62" t="s">
        <v>145</v>
      </c>
      <c r="F7" s="62" t="s">
        <v>146</v>
      </c>
      <c r="G7" s="62" t="s">
        <v>153</v>
      </c>
      <c r="H7" s="62" t="s">
        <v>154</v>
      </c>
      <c r="I7" s="62" t="s">
        <v>149</v>
      </c>
      <c r="J7" s="62" t="s">
        <v>155</v>
      </c>
      <c r="K7" s="62" t="s">
        <v>151</v>
      </c>
      <c r="L7" s="62" t="s">
        <v>140</v>
      </c>
      <c r="M7" s="62" t="s">
        <v>152</v>
      </c>
      <c r="N7" t="s">
        <v>135</v>
      </c>
    </row>
    <row r="8" spans="1:14">
      <c r="A8">
        <v>499</v>
      </c>
      <c r="B8" s="54">
        <v>10.141999999999999</v>
      </c>
      <c r="C8" s="54">
        <v>16.344000000000001</v>
      </c>
      <c r="D8" s="54">
        <v>20.602</v>
      </c>
      <c r="E8" s="54">
        <v>17.646000000000001</v>
      </c>
      <c r="F8" s="54">
        <v>15.877999999999997</v>
      </c>
      <c r="G8" s="54">
        <v>8.8439999999999994</v>
      </c>
      <c r="H8" s="54">
        <v>8.604000000000001</v>
      </c>
      <c r="I8" s="54">
        <v>12.836000000000002</v>
      </c>
      <c r="J8" s="54">
        <v>9.6419999999999995</v>
      </c>
      <c r="K8" s="54">
        <v>9.3040000000000003</v>
      </c>
      <c r="L8" s="54">
        <v>16.690000000000001</v>
      </c>
      <c r="M8" s="54">
        <v>19.158000000000001</v>
      </c>
    </row>
    <row r="9" spans="1:14">
      <c r="A9">
        <v>599</v>
      </c>
      <c r="B9" s="54">
        <v>1.19</v>
      </c>
      <c r="C9" s="54">
        <v>5.7620000000000005</v>
      </c>
      <c r="D9" s="54">
        <v>10.17</v>
      </c>
      <c r="E9" s="54">
        <v>8.2680000000000007</v>
      </c>
      <c r="F9" s="54">
        <v>6.7159999999999993</v>
      </c>
      <c r="G9" s="54">
        <v>2.024</v>
      </c>
      <c r="H9" s="54">
        <v>0.50200000000000033</v>
      </c>
      <c r="I9" s="54">
        <v>4.016</v>
      </c>
      <c r="J9" s="54">
        <v>0.33200000000000002</v>
      </c>
      <c r="K9" s="54">
        <v>-1.8820000000000001</v>
      </c>
      <c r="L9" s="54">
        <v>3.6559999999999997</v>
      </c>
      <c r="M9" s="54">
        <v>4.9600000000000009</v>
      </c>
    </row>
    <row r="10" spans="1:14">
      <c r="A10">
        <v>699</v>
      </c>
      <c r="B10" s="63">
        <v>-5.3959999999999999</v>
      </c>
      <c r="C10" s="63">
        <v>-4.508</v>
      </c>
      <c r="D10" s="63">
        <v>-2.06</v>
      </c>
      <c r="E10" s="63">
        <v>-2.3800000000000003</v>
      </c>
      <c r="F10" s="63">
        <v>-2.8919999999999999</v>
      </c>
      <c r="G10" s="63">
        <v>-5.2160000000000002</v>
      </c>
      <c r="H10" s="63">
        <v>-3.9659999999999997</v>
      </c>
      <c r="I10" s="63">
        <v>-5.2160000000000002</v>
      </c>
      <c r="J10" s="63">
        <v>-3.46</v>
      </c>
      <c r="K10" s="63">
        <v>-4.9139999999999997</v>
      </c>
      <c r="L10" s="63">
        <v>-5.4660000000000002</v>
      </c>
      <c r="M10" s="63">
        <v>-3.1459999999999999</v>
      </c>
    </row>
    <row r="11" spans="1:14">
      <c r="A11">
        <v>799</v>
      </c>
      <c r="B11" s="63">
        <v>-10.040000000000001</v>
      </c>
      <c r="C11" s="63">
        <v>-10.712</v>
      </c>
      <c r="D11" s="63">
        <v>-11.182</v>
      </c>
      <c r="E11" s="63">
        <v>-11.182</v>
      </c>
      <c r="F11" s="63">
        <v>-10.401999999999999</v>
      </c>
      <c r="G11" s="63">
        <v>-12.745999999999999</v>
      </c>
      <c r="H11" s="63">
        <v>-10.995999999999999</v>
      </c>
      <c r="I11" s="63">
        <v>-9.7880000000000003</v>
      </c>
      <c r="J11" s="63">
        <v>-10.99</v>
      </c>
      <c r="K11" s="63">
        <v>-10.994</v>
      </c>
      <c r="L11" s="63">
        <v>-10.809999999999999</v>
      </c>
      <c r="M11" s="63">
        <v>-10.011999999999999</v>
      </c>
    </row>
    <row r="14" spans="1:14">
      <c r="A14" t="s">
        <v>180</v>
      </c>
    </row>
    <row r="15" spans="1:14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</row>
    <row r="16" spans="1:14">
      <c r="A16">
        <v>500</v>
      </c>
      <c r="B16">
        <v>1.002</v>
      </c>
      <c r="C16">
        <v>1.0369999999999999</v>
      </c>
      <c r="D16">
        <v>1.056</v>
      </c>
      <c r="E16">
        <v>1.048</v>
      </c>
      <c r="F16">
        <v>1.012</v>
      </c>
      <c r="G16">
        <v>0.998</v>
      </c>
      <c r="H16">
        <v>0.98899999999999999</v>
      </c>
      <c r="I16">
        <v>0.98599999999999999</v>
      </c>
      <c r="J16">
        <v>0.96099999999999997</v>
      </c>
      <c r="K16">
        <v>0.94699999999999995</v>
      </c>
      <c r="L16">
        <v>0.97299999999999998</v>
      </c>
      <c r="M16">
        <v>0.99099999999999999</v>
      </c>
    </row>
    <row r="17" spans="1:13">
      <c r="A17">
        <v>600</v>
      </c>
      <c r="B17">
        <v>0.995</v>
      </c>
      <c r="C17">
        <v>1</v>
      </c>
      <c r="D17">
        <v>1.012</v>
      </c>
      <c r="E17">
        <v>1.018</v>
      </c>
      <c r="F17">
        <v>1.012</v>
      </c>
      <c r="G17">
        <v>1.018</v>
      </c>
      <c r="H17">
        <v>1.0149999999999999</v>
      </c>
      <c r="I17">
        <v>1.0029999999999999</v>
      </c>
      <c r="J17">
        <v>0.98099999999999998</v>
      </c>
      <c r="K17">
        <v>0.97099999999999997</v>
      </c>
      <c r="L17">
        <v>0.98</v>
      </c>
      <c r="M17">
        <v>0.995</v>
      </c>
    </row>
    <row r="18" spans="1:13">
      <c r="A18">
        <v>700</v>
      </c>
      <c r="B18">
        <v>1.008</v>
      </c>
      <c r="C18">
        <v>0.997</v>
      </c>
      <c r="D18">
        <v>0.98</v>
      </c>
      <c r="E18">
        <v>0.97699999999999998</v>
      </c>
      <c r="F18">
        <v>0.97699999999999998</v>
      </c>
      <c r="G18">
        <v>1.0069999999999999</v>
      </c>
      <c r="H18">
        <v>1.016</v>
      </c>
      <c r="I18">
        <v>1.006</v>
      </c>
      <c r="J18">
        <v>0.99299999999999999</v>
      </c>
      <c r="K18">
        <v>0.998</v>
      </c>
      <c r="L18">
        <v>1.014</v>
      </c>
      <c r="M18">
        <v>1.0269999999999999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Q27"/>
  <sheetViews>
    <sheetView workbookViewId="0">
      <selection activeCell="A23" sqref="A23"/>
    </sheetView>
  </sheetViews>
  <sheetFormatPr defaultRowHeight="14.4"/>
  <cols>
    <col min="1" max="1" width="10.5546875" bestFit="1" customWidth="1"/>
    <col min="9" max="9" width="11.44140625" customWidth="1"/>
  </cols>
  <sheetData>
    <row r="1" spans="1:17">
      <c r="A1" t="s">
        <v>130</v>
      </c>
      <c r="D1" t="s">
        <v>133</v>
      </c>
      <c r="E1" t="s">
        <v>134</v>
      </c>
      <c r="G1" t="s">
        <v>135</v>
      </c>
      <c r="I1" t="s">
        <v>139</v>
      </c>
      <c r="J1" s="54">
        <f>Budget!F17</f>
        <v>59</v>
      </c>
      <c r="K1" s="65">
        <f>IF(J1&gt;31,VLOOKUP(J1,C7:E18,3)+1,1)</f>
        <v>3</v>
      </c>
      <c r="L1" s="60" t="str">
        <f>VLOOKUP(J1,B7:D18,3)</f>
        <v>MAR</v>
      </c>
      <c r="N1" t="s">
        <v>174</v>
      </c>
    </row>
    <row r="2" spans="1:17" ht="18">
      <c r="A2" t="s">
        <v>41</v>
      </c>
      <c r="D2" t="s">
        <v>136</v>
      </c>
      <c r="E2" s="56">
        <f>IF(HLOOKUP(Budget!$F$20,'combined prices'!$B$11:$V$13,3)&gt;0,HLOOKUP(Budget!$F$20,'combined prices'!$B$11:$V$13,3),HLOOKUP(Budget!$F$20+50,'combined prices'!$B$11:$V$13,3))</f>
        <v>184.08999633789063</v>
      </c>
      <c r="G2" s="56">
        <f>IF(HLOOKUP(Budget!$F$20,'combined prices'!$X$11:$AQ$13,3)&gt;0,HLOOKUP(Budget!$F$20,'combined prices'!$X$11:$AQ$13,3),HLOOKUP(Budget!$F$20+50,'combined prices'!$X$11:$AQ$13,3))</f>
        <v>155.94000244140625</v>
      </c>
      <c r="J2" t="s">
        <v>134</v>
      </c>
      <c r="K2" s="61" t="s">
        <v>135</v>
      </c>
      <c r="L2" t="s">
        <v>134</v>
      </c>
      <c r="M2" s="61" t="s">
        <v>135</v>
      </c>
      <c r="N2" t="s">
        <v>173</v>
      </c>
      <c r="P2" t="s">
        <v>134</v>
      </c>
      <c r="Q2" t="s">
        <v>135</v>
      </c>
    </row>
    <row r="3" spans="1:17" ht="18">
      <c r="A3" t="s">
        <v>131</v>
      </c>
      <c r="D3" t="s">
        <v>137</v>
      </c>
      <c r="E3" s="56">
        <f>IF(HLOOKUP(Budget!$F$20,'OKC prices'!$B$11:$V$13,3)&gt;0,HLOOKUP(Budget!$F$20,'OKC prices'!$B$11:$V$13,3),HLOOKUP(Budget!$F$20+50,'OKC prices'!$B$11:$V$13,3))</f>
        <v>184.08999633789063</v>
      </c>
      <c r="G3" s="56">
        <f>IF(HLOOKUP(Budget!$F$20,'OKC prices'!$X$11:$AQ$13,3)&gt;0,HLOOKUP(Budget!$F$20,'OKC prices'!$X$11:$AQ$13,3),HLOOKUP(Budget!$F$20+50,'OKC prices'!$X$11:$AQ$13,3))</f>
        <v>155.94000244140625</v>
      </c>
      <c r="I3" t="s">
        <v>157</v>
      </c>
      <c r="J3" s="54">
        <f>Budget!F41</f>
        <v>705</v>
      </c>
      <c r="K3" s="54">
        <f>Budget!J41</f>
        <v>674</v>
      </c>
      <c r="L3" s="54">
        <f>J3</f>
        <v>705</v>
      </c>
      <c r="M3" s="54">
        <f>K3</f>
        <v>674</v>
      </c>
      <c r="O3" t="s">
        <v>176</v>
      </c>
      <c r="P3">
        <f>IF(J8&lt;&gt;L8,ABS(J3-MIN(J8,L8))/ABS(J8-L8),1)</f>
        <v>0.55000000000000004</v>
      </c>
      <c r="Q3">
        <f>IF(K8&lt;&gt;M8,ABS(K3-MIN(K8,M8))/ABS(K8-M8),1)</f>
        <v>0.24</v>
      </c>
    </row>
    <row r="4" spans="1:17">
      <c r="I4" t="s">
        <v>138</v>
      </c>
      <c r="J4" s="66">
        <f>HLOOKUP(K1,futures!C4:J5,2)</f>
        <v>143.55000305175781</v>
      </c>
      <c r="K4" s="61">
        <f>J4</f>
        <v>143.55000305175781</v>
      </c>
      <c r="L4" s="54">
        <f>J4</f>
        <v>143.55000305175781</v>
      </c>
      <c r="M4" s="54">
        <f>K4</f>
        <v>143.55000305175781</v>
      </c>
      <c r="O4" t="s">
        <v>177</v>
      </c>
      <c r="P4">
        <f>P3*(ABS(J7-L7))+MIN(J7,L7)</f>
        <v>151.60390305175781</v>
      </c>
      <c r="Q4">
        <f>Q3*(ABS(K7-M7))+MIN(K7,M7)</f>
        <v>134.55728305175782</v>
      </c>
    </row>
    <row r="5" spans="1:17">
      <c r="I5" t="s">
        <v>158</v>
      </c>
      <c r="J5">
        <v>5</v>
      </c>
      <c r="K5">
        <v>5</v>
      </c>
      <c r="L5">
        <f>IF(J3&lt;J8,IF(J5-1&gt;2,J5-1,2),IF(J5+1&lt;6,J5+1,5))</f>
        <v>4</v>
      </c>
      <c r="M5">
        <f>IF(K3&lt;K8,IF(K5-1&gt;2,K5-1,2),IF(K5+1&lt;6,K5+1,5))</f>
        <v>4</v>
      </c>
    </row>
    <row r="6" spans="1:17">
      <c r="A6" t="s">
        <v>141</v>
      </c>
      <c r="I6" t="s">
        <v>156</v>
      </c>
      <c r="J6">
        <f>HLOOKUP($L$1,basis!$A1:$M5,lists!J$5,FALSE)</f>
        <v>1.026</v>
      </c>
      <c r="K6">
        <f>HLOOKUP($L$1,basis!$A$7:$M$11,lists!K5,FALSE)</f>
        <v>-11.182</v>
      </c>
      <c r="L6">
        <f>HLOOKUP($L$1,basis!$A1:$M5,lists!L$5,FALSE)</f>
        <v>13.803999999999998</v>
      </c>
      <c r="M6">
        <f>HLOOKUP($L$1,basis!$A$7:$M$11,lists!M5,FALSE)</f>
        <v>-2.06</v>
      </c>
    </row>
    <row r="7" spans="1:17">
      <c r="A7" t="s">
        <v>142</v>
      </c>
      <c r="B7">
        <v>0</v>
      </c>
      <c r="C7" s="60">
        <v>31</v>
      </c>
      <c r="D7" t="s">
        <v>121</v>
      </c>
      <c r="E7">
        <v>1</v>
      </c>
      <c r="I7" t="s">
        <v>159</v>
      </c>
      <c r="J7" s="64">
        <f>J4+J6</f>
        <v>144.57600305175782</v>
      </c>
      <c r="K7" s="64">
        <f>K4+K6</f>
        <v>132.36800305175782</v>
      </c>
      <c r="L7" s="64">
        <f>L4+L6</f>
        <v>157.35400305175781</v>
      </c>
      <c r="M7" s="64">
        <f>M4+M6</f>
        <v>141.49000305175781</v>
      </c>
    </row>
    <row r="8" spans="1:17">
      <c r="A8" t="s">
        <v>143</v>
      </c>
      <c r="B8">
        <v>31</v>
      </c>
      <c r="C8" s="60">
        <f>C7+28</f>
        <v>59</v>
      </c>
      <c r="D8" t="s">
        <v>162</v>
      </c>
      <c r="E8">
        <v>2</v>
      </c>
      <c r="I8" t="s">
        <v>175</v>
      </c>
      <c r="J8">
        <f>J5*100+250</f>
        <v>750</v>
      </c>
      <c r="K8">
        <f>K5*100+250</f>
        <v>750</v>
      </c>
      <c r="L8">
        <f t="shared" ref="L8:M8" si="0">L5*100+250</f>
        <v>650</v>
      </c>
      <c r="M8">
        <f t="shared" si="0"/>
        <v>650</v>
      </c>
    </row>
    <row r="9" spans="1:17">
      <c r="A9" s="55" t="s">
        <v>144</v>
      </c>
      <c r="B9">
        <f>B8+28</f>
        <v>59</v>
      </c>
      <c r="C9" s="60">
        <f>C8+31</f>
        <v>90</v>
      </c>
      <c r="D9" t="s">
        <v>122</v>
      </c>
      <c r="E9">
        <v>3</v>
      </c>
    </row>
    <row r="10" spans="1:17">
      <c r="A10" t="s">
        <v>145</v>
      </c>
      <c r="B10">
        <f>B9+31</f>
        <v>90</v>
      </c>
      <c r="C10" s="60">
        <f>C9+30</f>
        <v>120</v>
      </c>
      <c r="D10" t="s">
        <v>123</v>
      </c>
      <c r="E10">
        <v>4</v>
      </c>
    </row>
    <row r="11" spans="1:17">
      <c r="A11" t="s">
        <v>146</v>
      </c>
      <c r="B11">
        <f>B10+30</f>
        <v>120</v>
      </c>
      <c r="C11" s="60">
        <f>C10+31</f>
        <v>151</v>
      </c>
      <c r="D11" t="s">
        <v>124</v>
      </c>
      <c r="E11">
        <v>5</v>
      </c>
      <c r="O11">
        <f>IF(K1=basis!I1,1,0)</f>
        <v>0</v>
      </c>
    </row>
    <row r="12" spans="1:17">
      <c r="A12" t="s">
        <v>147</v>
      </c>
      <c r="B12">
        <f>B11+31</f>
        <v>151</v>
      </c>
      <c r="C12" s="60">
        <f>C11+30</f>
        <v>181</v>
      </c>
      <c r="D12" t="s">
        <v>163</v>
      </c>
      <c r="E12">
        <v>6</v>
      </c>
      <c r="I12" t="s">
        <v>166</v>
      </c>
      <c r="K12" t="s">
        <v>167</v>
      </c>
    </row>
    <row r="13" spans="1:17">
      <c r="A13" t="s">
        <v>148</v>
      </c>
      <c r="B13">
        <f>B12+30</f>
        <v>181</v>
      </c>
      <c r="C13" s="60">
        <f>C12+31</f>
        <v>212</v>
      </c>
      <c r="D13" t="s">
        <v>164</v>
      </c>
      <c r="E13">
        <v>7</v>
      </c>
      <c r="I13" t="s">
        <v>168</v>
      </c>
      <c r="K13" s="60">
        <f>Budget!F20</f>
        <v>425</v>
      </c>
    </row>
    <row r="14" spans="1:17">
      <c r="A14" t="s">
        <v>149</v>
      </c>
      <c r="B14">
        <f>B13+31</f>
        <v>212</v>
      </c>
      <c r="C14" s="60">
        <f>C13+31</f>
        <v>243</v>
      </c>
      <c r="D14" t="s">
        <v>125</v>
      </c>
      <c r="E14">
        <v>8</v>
      </c>
      <c r="J14" t="s">
        <v>136</v>
      </c>
      <c r="K14" t="s">
        <v>137</v>
      </c>
      <c r="L14" t="s">
        <v>157</v>
      </c>
    </row>
    <row r="15" spans="1:17">
      <c r="A15" t="s">
        <v>150</v>
      </c>
      <c r="B15">
        <f>B14+31</f>
        <v>243</v>
      </c>
      <c r="C15" s="60">
        <f>C14+30</f>
        <v>273</v>
      </c>
      <c r="D15" t="s">
        <v>126</v>
      </c>
      <c r="E15">
        <v>9</v>
      </c>
      <c r="I15" t="s">
        <v>169</v>
      </c>
      <c r="J15">
        <f>IF(HLOOKUP(Budget!$F$20,'combined prices'!$B$11:$V$13,3)&gt;0,HLOOKUP(Budget!$F$20,'combined prices'!$B$11:$V$13,3),HLOOKUP(Budget!$F$20+50,'combined prices'!$B$11:$V$13,3))</f>
        <v>184.08999633789063</v>
      </c>
      <c r="K15">
        <f>IF(HLOOKUP(Budget!$F$20,'OKC prices'!$B$11:$V$13,3)&gt;0,HLOOKUP(Budget!$F$20,'OKC prices'!$B$11:$V$13,3),HLOOKUP(Budget!$F$20+50,'OKC prices'!$B$11:$V$13,3))</f>
        <v>184.08999633789063</v>
      </c>
      <c r="L15">
        <f>HLOOKUP(Budget!$F$20,'combined prices'!$B$11:$V$13,1)</f>
        <v>425</v>
      </c>
    </row>
    <row r="16" spans="1:17">
      <c r="A16" t="s">
        <v>151</v>
      </c>
      <c r="B16">
        <f>B15+30</f>
        <v>273</v>
      </c>
      <c r="C16" s="60">
        <f>C15+31</f>
        <v>304</v>
      </c>
      <c r="D16" t="s">
        <v>127</v>
      </c>
      <c r="E16">
        <v>10</v>
      </c>
      <c r="I16" t="s">
        <v>170</v>
      </c>
      <c r="J16">
        <f>IF(HLOOKUP(L15+50,'combined prices'!$B$11:$V$13,3)&gt;0,HLOOKUP(L15+50,'combined prices'!$B$11:$V$13,3),HLOOKUP(L15+50+50,'combined prices'!$B$11:$V$13,3))</f>
        <v>173.08999633789063</v>
      </c>
      <c r="K16">
        <f>IF(HLOOKUP(L15+50,'OKC prices'!$B$11:$V$13,3)&gt;0,HLOOKUP(L15+50,'OKC prices'!$B$11:$V$13,3),HLOOKUP(L15+50+50,'OKC prices'!$B$11:$V$13,3))</f>
        <v>173.08999633789063</v>
      </c>
      <c r="L16">
        <f>HLOOKUP(L15+50,'combined prices'!$B$11:$V$13,1)</f>
        <v>475</v>
      </c>
    </row>
    <row r="17" spans="1:12">
      <c r="A17" t="s">
        <v>140</v>
      </c>
      <c r="B17">
        <f>B16+31</f>
        <v>304</v>
      </c>
      <c r="C17" s="60">
        <f>C16+30</f>
        <v>334</v>
      </c>
      <c r="D17" t="s">
        <v>128</v>
      </c>
      <c r="E17">
        <v>11</v>
      </c>
      <c r="I17" t="s">
        <v>171</v>
      </c>
      <c r="J17">
        <f>($K$13-$L$15)/($L$16-$L$15)*(J15-J16)+J16</f>
        <v>173.08999633789063</v>
      </c>
      <c r="K17">
        <f>($K$13-$L$15)/($L$16-$L$15)*(K16-K15)+K15</f>
        <v>184.08999633789063</v>
      </c>
    </row>
    <row r="18" spans="1:12">
      <c r="A18" t="s">
        <v>152</v>
      </c>
      <c r="B18">
        <f>B17+30</f>
        <v>334</v>
      </c>
      <c r="C18" s="60">
        <f>C17+31</f>
        <v>365</v>
      </c>
      <c r="D18" t="s">
        <v>165</v>
      </c>
      <c r="E18">
        <v>12</v>
      </c>
    </row>
    <row r="19" spans="1:12">
      <c r="I19" t="s">
        <v>166</v>
      </c>
      <c r="J19" s="54"/>
      <c r="K19" s="54" t="s">
        <v>172</v>
      </c>
    </row>
    <row r="20" spans="1:12">
      <c r="I20" t="s">
        <v>168</v>
      </c>
      <c r="K20" s="60">
        <f>Budget!H20</f>
        <v>450</v>
      </c>
    </row>
    <row r="21" spans="1:12">
      <c r="J21" t="s">
        <v>136</v>
      </c>
      <c r="K21" t="s">
        <v>137</v>
      </c>
      <c r="L21" t="s">
        <v>157</v>
      </c>
    </row>
    <row r="22" spans="1:12">
      <c r="I22" t="s">
        <v>169</v>
      </c>
      <c r="J22">
        <f>IF(HLOOKUP(K20,'combined prices'!$X$11:$AQ$13,3)&gt;0,HLOOKUP(K20,'combined prices'!$X$11:$AQ$13,3),HLOOKUP(K20+50,'combined prices'!$X$11:$AQ$13,3))</f>
        <v>155.94000244140625</v>
      </c>
      <c r="K22">
        <f>IF(HLOOKUP(Budget!$H$20,'OKC prices'!$X$11:$AQ$13,3)&gt;0,HLOOKUP(Budget!$H$20,'OKC prices'!$X$11:$AQ$13,3),HLOOKUP(Budget!$F$20+50,'OKC prices'!$X$11:$AQ$13,3))</f>
        <v>155.94000244140625</v>
      </c>
      <c r="L22">
        <f>HLOOKUP(K20,'combined prices'!$B$11:$V$13,1)</f>
        <v>425</v>
      </c>
    </row>
    <row r="23" spans="1:12">
      <c r="A23" s="67" t="s">
        <v>182</v>
      </c>
      <c r="I23" t="s">
        <v>170</v>
      </c>
      <c r="J23">
        <f>IF(HLOOKUP(K20+50,'combined prices'!$X$11:$AQ$13,3)&gt;0,HLOOKUP(K20+50,'combined prices'!$X$11:$AQ$13,3),HLOOKUP(K20+50+50,'combined prices'!$X$11:$AQ$13,3))</f>
        <v>149.6199951171875</v>
      </c>
      <c r="K23">
        <f>IF(HLOOKUP(Budget!$H$20+50,'OKC prices'!$X$11:$AQ$13,3)&gt;0,HLOOKUP(Budget!$H$20+50,'OKC prices'!$X$11:$AQ$13,3),HLOOKUP(Budget!$H$20+50+50,'OKC prices'!$X$11:$AQ$13,3))</f>
        <v>149.6199951171875</v>
      </c>
      <c r="L23">
        <f>HLOOKUP(K20+50,'combined prices'!$B$11:$V$13,1)</f>
        <v>475</v>
      </c>
    </row>
    <row r="24" spans="1:12">
      <c r="I24" t="s">
        <v>171</v>
      </c>
      <c r="J24">
        <f>($K$20-$L$22)/($L$23-$L$22)*(J22-J23)+J23</f>
        <v>152.77999877929688</v>
      </c>
      <c r="K24">
        <f>($K$20-$L$22)/($L$23-$L$22)*(K23-K22)+K22</f>
        <v>152.77999877929688</v>
      </c>
    </row>
    <row r="27" spans="1:12">
      <c r="I27" t="s">
        <v>181</v>
      </c>
    </row>
  </sheetData>
  <hyperlinks>
    <hyperlink ref="A23" r:id="rId1" xr:uid="{00000000-0004-0000-0600-00000000000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Budget</vt:lpstr>
      <vt:lpstr>cost_of_gain</vt:lpstr>
      <vt:lpstr>combined prices</vt:lpstr>
      <vt:lpstr>OKC prices</vt:lpstr>
      <vt:lpstr>futures</vt:lpstr>
      <vt:lpstr>basis</vt:lpstr>
      <vt:lpstr>lists</vt:lpstr>
      <vt:lpstr>Sheet1</vt:lpstr>
      <vt:lpstr>locations</vt:lpstr>
      <vt:lpstr>months</vt:lpstr>
    </vt:vector>
  </TitlesOfParts>
  <Company>AGECON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DeVuyst</dc:creator>
  <cp:lastModifiedBy>Wilson, Cassidy Diane</cp:lastModifiedBy>
  <cp:lastPrinted>2014-08-28T20:12:20Z</cp:lastPrinted>
  <dcterms:created xsi:type="dcterms:W3CDTF">2008-11-05T19:16:09Z</dcterms:created>
  <dcterms:modified xsi:type="dcterms:W3CDTF">2022-07-27T20:48:32Z</dcterms:modified>
</cp:coreProperties>
</file>